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seki-s\Desktop\"/>
    </mc:Choice>
  </mc:AlternateContent>
  <xr:revisionPtr revIDLastSave="0" documentId="13_ncr:1_{EF2F8EB4-45C9-42C5-B167-6FBE6975FBF0}" xr6:coauthVersionLast="47" xr6:coauthVersionMax="47" xr10:uidLastSave="{00000000-0000-0000-0000-000000000000}"/>
  <bookViews>
    <workbookView xWindow="-120" yWindow="-120" windowWidth="29040" windowHeight="15840" xr2:uid="{FD4AAF38-8FC9-4A00-9C81-1DC603D9C8BC}"/>
  </bookViews>
  <sheets>
    <sheet name="総表" sheetId="11" r:id="rId1"/>
    <sheet name="別紙1" sheetId="16" r:id="rId2"/>
    <sheet name="別紙2" sheetId="17" r:id="rId3"/>
    <sheet name="別紙3" sheetId="18" r:id="rId4"/>
    <sheet name="別紙3-1" sheetId="20" r:id="rId5"/>
    <sheet name="別紙3-2" sheetId="21" r:id="rId6"/>
    <sheet name="（削除不可）給与・年金所得計算" sheetId="23" state="hidden" r:id="rId7"/>
  </sheets>
  <definedNames>
    <definedName name="_xlnm.Print_Area" localSheetId="6">'（削除不可）給与・年金所得計算'!$A$1:$AJ$26</definedName>
    <definedName name="_xlnm.Print_Area" localSheetId="0">総表!$B$3:$O$29</definedName>
    <definedName name="_xlnm.Print_Area" localSheetId="1">別紙1!$B$1:$T$26</definedName>
    <definedName name="_xlnm.Print_Area" localSheetId="2">別紙2!$B$1:$P$19</definedName>
    <definedName name="_xlnm.Print_Area" localSheetId="3">別紙3!$B$1:$O$22</definedName>
    <definedName name="_xlnm.Print_Area" localSheetId="4">'別紙3-1'!$B$1:$O$20</definedName>
    <definedName name="_xlnm.Print_Area" localSheetId="5">'別紙3-2'!$B$1:$O$21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7" l="1"/>
  <c r="M10" i="11"/>
  <c r="M13" i="11" s="1"/>
  <c r="C14" i="20"/>
  <c r="D9" i="16"/>
  <c r="D10" i="16" s="1"/>
  <c r="D9" i="18"/>
  <c r="D10" i="18" s="1"/>
  <c r="D9" i="17"/>
  <c r="D10" i="17" s="1"/>
  <c r="H14" i="21"/>
  <c r="H19" i="20"/>
  <c r="H18" i="20"/>
  <c r="H17" i="20"/>
  <c r="H16" i="20"/>
  <c r="H15" i="20"/>
  <c r="H14" i="20"/>
  <c r="L21" i="18"/>
  <c r="L20" i="18"/>
  <c r="L19" i="18"/>
  <c r="J21" i="18"/>
  <c r="J20" i="18"/>
  <c r="J19" i="18"/>
  <c r="J18" i="18"/>
  <c r="L18" i="18" s="1"/>
  <c r="J16" i="18"/>
  <c r="J15" i="18"/>
  <c r="J14" i="18"/>
  <c r="J13" i="18"/>
  <c r="J12" i="18"/>
  <c r="I9" i="17" l="1"/>
  <c r="I10" i="17" s="1"/>
  <c r="E9" i="16"/>
  <c r="F9" i="16" s="1"/>
  <c r="G9" i="16" s="1"/>
  <c r="C15" i="20"/>
  <c r="C16" i="20" s="1"/>
  <c r="C17" i="20" s="1"/>
  <c r="C18" i="20" s="1"/>
  <c r="C19" i="20" s="1"/>
  <c r="E9" i="18"/>
  <c r="E10" i="18" s="1"/>
  <c r="E9" i="17"/>
  <c r="E10" i="17" s="1"/>
  <c r="H21" i="21"/>
  <c r="H20" i="21"/>
  <c r="H19" i="21"/>
  <c r="H18" i="21"/>
  <c r="H17" i="21"/>
  <c r="H16" i="21"/>
  <c r="H15" i="21"/>
  <c r="J18" i="17"/>
  <c r="J17" i="17"/>
  <c r="J16" i="17"/>
  <c r="J15" i="17"/>
  <c r="J14" i="17"/>
  <c r="J13" i="17"/>
  <c r="J12" i="17"/>
  <c r="J11" i="17"/>
  <c r="Q25" i="16"/>
  <c r="H9" i="16" l="1"/>
  <c r="I9" i="16" s="1"/>
  <c r="I10" i="16" s="1"/>
  <c r="G10" i="16"/>
  <c r="F9" i="18"/>
  <c r="F9" i="17"/>
  <c r="E10" i="16"/>
  <c r="M18" i="17"/>
  <c r="V18" i="23"/>
  <c r="Z18" i="23" s="1"/>
  <c r="V17" i="23"/>
  <c r="Z17" i="23" s="1"/>
  <c r="P17" i="23"/>
  <c r="Z16" i="23"/>
  <c r="V16" i="23"/>
  <c r="P16" i="23"/>
  <c r="V15" i="23"/>
  <c r="Z15" i="23" s="1"/>
  <c r="P15" i="23"/>
  <c r="V14" i="23"/>
  <c r="P14" i="23"/>
  <c r="C14" i="23"/>
  <c r="C13" i="23"/>
  <c r="C12" i="23"/>
  <c r="C11" i="23"/>
  <c r="Z10" i="23"/>
  <c r="V10" i="23"/>
  <c r="C10" i="23"/>
  <c r="Z9" i="23"/>
  <c r="V9" i="23"/>
  <c r="P9" i="23"/>
  <c r="C9" i="23"/>
  <c r="Z8" i="23"/>
  <c r="V8" i="23"/>
  <c r="P8" i="23"/>
  <c r="C8" i="23"/>
  <c r="AG7" i="23"/>
  <c r="AG9" i="23" s="1"/>
  <c r="AE16" i="23" s="1"/>
  <c r="V7" i="23"/>
  <c r="Z7" i="23" s="1"/>
  <c r="P7" i="23"/>
  <c r="C7" i="23"/>
  <c r="Z6" i="23"/>
  <c r="V6" i="23"/>
  <c r="P6" i="23"/>
  <c r="C6" i="23"/>
  <c r="C5" i="23"/>
  <c r="I4" i="18"/>
  <c r="E5" i="16"/>
  <c r="F10" i="18" l="1"/>
  <c r="G9" i="18"/>
  <c r="F10" i="17"/>
  <c r="G9" i="17"/>
  <c r="F10" i="16"/>
  <c r="Z14" i="23"/>
  <c r="G10" i="17" l="1"/>
  <c r="H9" i="17"/>
  <c r="G10" i="18"/>
  <c r="H9" i="18"/>
  <c r="G8" i="21"/>
  <c r="E8" i="21"/>
  <c r="C8" i="21"/>
  <c r="I6" i="21"/>
  <c r="C6" i="21"/>
  <c r="G8" i="20"/>
  <c r="E8" i="20"/>
  <c r="C8" i="20"/>
  <c r="I6" i="20"/>
  <c r="C6" i="20"/>
  <c r="G5" i="18"/>
  <c r="G5" i="17"/>
  <c r="G5" i="16"/>
  <c r="P24" i="16"/>
  <c r="J24" i="16"/>
  <c r="O24" i="16" s="1"/>
  <c r="Q24" i="16" s="1"/>
  <c r="J14" i="16"/>
  <c r="K15" i="18"/>
  <c r="L15" i="18" s="1"/>
  <c r="E5" i="18"/>
  <c r="C5" i="18"/>
  <c r="C4" i="18"/>
  <c r="E5" i="17"/>
  <c r="C5" i="17"/>
  <c r="I4" i="17"/>
  <c r="N18" i="17" s="1"/>
  <c r="O18" i="17" s="1"/>
  <c r="C4" i="17"/>
  <c r="I4" i="16"/>
  <c r="P16" i="16" s="1"/>
  <c r="J16" i="16"/>
  <c r="J15" i="16"/>
  <c r="J13" i="16"/>
  <c r="J12" i="16"/>
  <c r="J25" i="16"/>
  <c r="O25" i="16" s="1"/>
  <c r="J23" i="16"/>
  <c r="O23" i="16" s="1"/>
  <c r="Q23" i="16" s="1"/>
  <c r="J22" i="16"/>
  <c r="O22" i="16" s="1"/>
  <c r="Q22" i="16" s="1"/>
  <c r="J21" i="16"/>
  <c r="O21" i="16" s="1"/>
  <c r="Q21" i="16" s="1"/>
  <c r="P25" i="16"/>
  <c r="P23" i="16"/>
  <c r="P22" i="16"/>
  <c r="P21" i="16"/>
  <c r="C5" i="16"/>
  <c r="C4" i="16"/>
  <c r="H10" i="18" l="1"/>
  <c r="I9" i="18"/>
  <c r="I10" i="18" s="1"/>
  <c r="H10" i="17"/>
  <c r="H10" i="16"/>
  <c r="I5" i="17"/>
  <c r="N21" i="23" s="1"/>
  <c r="O16" i="16"/>
  <c r="Q16" i="16" s="1"/>
  <c r="K13" i="18"/>
  <c r="L13" i="18" s="1"/>
  <c r="K14" i="18"/>
  <c r="L14" i="18" s="1"/>
  <c r="K16" i="18"/>
  <c r="L16" i="18" s="1"/>
  <c r="K12" i="18"/>
  <c r="L12" i="18" s="1"/>
  <c r="N21" i="18" l="1"/>
  <c r="D28" i="11" s="1"/>
  <c r="AE17" i="23" s="1"/>
  <c r="X6" i="23"/>
  <c r="W6" i="23" s="1"/>
  <c r="X7" i="23"/>
  <c r="W7" i="23" s="1"/>
  <c r="T10" i="23"/>
  <c r="S10" i="23" s="1"/>
  <c r="AB7" i="23"/>
  <c r="AA7" i="23" s="1"/>
  <c r="T7" i="23"/>
  <c r="S7" i="23" s="1"/>
  <c r="AB6" i="23"/>
  <c r="AA6" i="23" s="1"/>
  <c r="X10" i="23"/>
  <c r="W10" i="23" s="1"/>
  <c r="AB18" i="23"/>
  <c r="AA18" i="23" s="1"/>
  <c r="X9" i="23"/>
  <c r="W9" i="23" s="1"/>
  <c r="T9" i="23"/>
  <c r="S9" i="23" s="1"/>
  <c r="T6" i="23"/>
  <c r="S6" i="23" s="1"/>
  <c r="AB8" i="23"/>
  <c r="AA8" i="23" s="1"/>
  <c r="AB9" i="23"/>
  <c r="AA9" i="23" s="1"/>
  <c r="AB10" i="23"/>
  <c r="AA10" i="23" s="1"/>
  <c r="T8" i="23"/>
  <c r="S8" i="23" s="1"/>
  <c r="X8" i="23"/>
  <c r="W8" i="23" s="1"/>
  <c r="D23" i="11"/>
  <c r="N23" i="23" s="1"/>
  <c r="S25" i="16"/>
  <c r="D18" i="11" l="1"/>
  <c r="A18" i="23" s="1"/>
  <c r="AD9" i="23" s="1"/>
  <c r="L5" i="23" l="1"/>
  <c r="J5" i="23" s="1"/>
  <c r="K5" i="23" s="1"/>
  <c r="M5" i="23" s="1"/>
  <c r="AF9" i="23"/>
  <c r="L15" i="23"/>
  <c r="J15" i="23" s="1"/>
  <c r="K15" i="23" s="1"/>
  <c r="M15" i="23" s="1"/>
  <c r="G5" i="23"/>
  <c r="G9" i="23"/>
  <c r="G13" i="23"/>
  <c r="G12" i="23"/>
  <c r="L14" i="23"/>
  <c r="J14" i="23" s="1"/>
  <c r="K14" i="23" s="1"/>
  <c r="M14" i="23" s="1"/>
  <c r="G6" i="23"/>
  <c r="G10" i="23"/>
  <c r="G14" i="23"/>
  <c r="L13" i="23"/>
  <c r="J13" i="23" s="1"/>
  <c r="K13" i="23" s="1"/>
  <c r="M13" i="23" s="1"/>
  <c r="G15" i="23"/>
  <c r="G7" i="23"/>
  <c r="G11" i="23"/>
  <c r="D18" i="23"/>
  <c r="G8" i="23"/>
  <c r="L7" i="23"/>
  <c r="J7" i="23" s="1"/>
  <c r="K7" i="23" s="1"/>
  <c r="M7" i="23" s="1"/>
  <c r="F18" i="23"/>
  <c r="L9" i="23"/>
  <c r="J9" i="23" s="1"/>
  <c r="K9" i="23" s="1"/>
  <c r="M9" i="23" s="1"/>
  <c r="L10" i="23"/>
  <c r="J10" i="23" s="1"/>
  <c r="K10" i="23" s="1"/>
  <c r="M10" i="23" s="1"/>
  <c r="L6" i="23"/>
  <c r="J6" i="23" s="1"/>
  <c r="K6" i="23" s="1"/>
  <c r="M6" i="23" s="1"/>
  <c r="L11" i="23"/>
  <c r="J11" i="23" s="1"/>
  <c r="K11" i="23" s="1"/>
  <c r="M11" i="23" s="1"/>
  <c r="L12" i="23"/>
  <c r="J12" i="23" s="1"/>
  <c r="K12" i="23" s="1"/>
  <c r="M12" i="23" s="1"/>
  <c r="L8" i="23"/>
  <c r="J8" i="23" s="1"/>
  <c r="K8" i="23" s="1"/>
  <c r="M8" i="23" s="1"/>
  <c r="E18" i="23"/>
  <c r="K18" i="23" l="1"/>
  <c r="G18" i="23"/>
  <c r="AE15" i="23" s="1"/>
  <c r="L18" i="23" l="1"/>
  <c r="AD5" i="23"/>
  <c r="AE18" i="23"/>
  <c r="N25" i="23" s="1"/>
  <c r="H18" i="11"/>
  <c r="K19" i="23"/>
  <c r="G22" i="23"/>
  <c r="F18" i="11" s="1"/>
  <c r="Q23" i="23" l="1"/>
  <c r="M23" i="11"/>
  <c r="T18" i="23" l="1"/>
  <c r="S18" i="23" s="1"/>
  <c r="X15" i="23"/>
  <c r="W15" i="23" s="1"/>
  <c r="T17" i="23"/>
  <c r="S17" i="23" s="1"/>
  <c r="T15" i="23"/>
  <c r="S15" i="23" s="1"/>
  <c r="X18" i="23"/>
  <c r="W18" i="23" s="1"/>
  <c r="AB16" i="23"/>
  <c r="AA16" i="23" s="1"/>
  <c r="AB15" i="23"/>
  <c r="AA15" i="23" s="1"/>
  <c r="AB17" i="23"/>
  <c r="AA17" i="23" s="1"/>
  <c r="X16" i="23"/>
  <c r="W16" i="23" s="1"/>
  <c r="T16" i="23"/>
  <c r="S16" i="23" s="1"/>
  <c r="T14" i="23"/>
  <c r="S14" i="23" s="1"/>
  <c r="R23" i="23"/>
  <c r="S23" i="23" s="1"/>
  <c r="AB14" i="23"/>
  <c r="AA14" i="23" s="1"/>
  <c r="X14" i="23"/>
  <c r="W14" i="23" s="1"/>
  <c r="X17" i="23"/>
  <c r="W17" i="23" s="1"/>
  <c r="T23" i="23" l="1"/>
  <c r="F23" i="11" s="1"/>
  <c r="AE5" i="23"/>
  <c r="AG5" i="23" s="1"/>
  <c r="AG11" i="23" s="1"/>
  <c r="J18" i="11" s="1"/>
  <c r="M18" i="11" s="1"/>
  <c r="H23" i="11"/>
  <c r="M2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E7" authorId="0" shapeId="0" xr:uid="{D112F518-1F49-4E0C-9D2D-A72BF0AEB866}">
      <text>
        <r>
          <rPr>
            <sz val="9"/>
            <color indexed="81"/>
            <rFont val="MS P ゴシック"/>
            <family val="3"/>
            <charset val="128"/>
          </rPr>
          <t>「yyyy/m/d」で入力してください。</t>
        </r>
      </text>
    </comment>
    <comment ref="I7" authorId="0" shapeId="0" xr:uid="{D117ADD5-73D2-4BC2-A08E-322D55349BB8}">
      <text>
        <r>
          <rPr>
            <sz val="9"/>
            <color indexed="81"/>
            <rFont val="MS P ゴシック"/>
            <family val="3"/>
            <charset val="128"/>
          </rPr>
          <t>「yyyy/m/d」で入力してください。</t>
        </r>
      </text>
    </comment>
    <comment ref="M7" authorId="0" shapeId="0" xr:uid="{D7045F41-1D0F-452D-81CF-BEE7AE69DDD5}">
      <text>
        <r>
          <rPr>
            <sz val="9"/>
            <color indexed="81"/>
            <rFont val="MS P ゴシック"/>
            <family val="3"/>
            <charset val="128"/>
          </rPr>
          <t>年月を選択してください。</t>
        </r>
      </text>
    </comment>
    <comment ref="I10" authorId="0" shapeId="0" xr:uid="{A4FFCE63-A6AE-4B0B-B918-01BF10644289}">
      <text>
        <r>
          <rPr>
            <sz val="9"/>
            <color indexed="81"/>
            <rFont val="MS P ゴシック"/>
            <family val="3"/>
            <charset val="128"/>
          </rPr>
          <t>該当する場合は次から選択してください。
・はい（家計急変者自身が特別障害者）
・はい（同一生計配偶者が特別障害者）
・はい（扶養親族が特別障害者）
・はい（23歳未満の扶養親族がいる）
・いいえ</t>
        </r>
      </text>
    </comment>
    <comment ref="J13" authorId="0" shapeId="0" xr:uid="{A045F8C6-0E41-46BB-BE83-ADD6CFB03203}">
      <text>
        <r>
          <rPr>
            <sz val="9"/>
            <color indexed="81"/>
            <rFont val="MS P ゴシック"/>
            <family val="3"/>
            <charset val="128"/>
          </rPr>
          <t>該当する場合は「✓」を選択してください。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AD9" authorId="0" shapeId="0" xr:uid="{6E4237C5-B669-4CEB-AAE7-075908D56025}">
      <text>
        <r>
          <rPr>
            <sz val="9"/>
            <color indexed="81"/>
            <rFont val="MS P ゴシック"/>
            <family val="3"/>
            <charset val="128"/>
          </rPr>
          <t>850万円以下の場合「0」が表示される設定</t>
        </r>
      </text>
    </comment>
    <comment ref="AD16" authorId="0" shapeId="0" xr:uid="{F0700E5D-6450-4F51-A1BE-47E068E058EA}">
      <text>
        <r>
          <rPr>
            <sz val="9"/>
            <color indexed="81"/>
            <rFont val="MS P ゴシック"/>
            <family val="3"/>
            <charset val="128"/>
          </rPr>
          <t>「所得金額調整控除に相当する額②」は引かない</t>
        </r>
      </text>
    </comment>
  </commentList>
</comments>
</file>

<file path=xl/sharedStrings.xml><?xml version="1.0" encoding="utf-8"?>
<sst xmlns="http://schemas.openxmlformats.org/spreadsheetml/2006/main" count="263" uniqueCount="174">
  <si>
    <t>（賞与）</t>
    <phoneticPr fontId="1"/>
  </si>
  <si>
    <t>左記収入計</t>
    <rPh sb="0" eb="2">
      <t>サキ</t>
    </rPh>
    <rPh sb="2" eb="4">
      <t>シュウニュウ</t>
    </rPh>
    <rPh sb="4" eb="5">
      <t>ケイ</t>
    </rPh>
    <phoneticPr fontId="1"/>
  </si>
  <si>
    <t>給与所得控除額</t>
    <rPh sb="0" eb="2">
      <t>キュウヨ</t>
    </rPh>
    <rPh sb="2" eb="4">
      <t>ショトク</t>
    </rPh>
    <rPh sb="4" eb="7">
      <t>コウジョガク</t>
    </rPh>
    <phoneticPr fontId="1"/>
  </si>
  <si>
    <t>（システム入力金額）</t>
    <rPh sb="5" eb="7">
      <t>ニュウリョク</t>
    </rPh>
    <rPh sb="7" eb="9">
      <t>キンガク</t>
    </rPh>
    <phoneticPr fontId="1"/>
  </si>
  <si>
    <t>区　分</t>
    <rPh sb="0" eb="1">
      <t>ク</t>
    </rPh>
    <rPh sb="2" eb="3">
      <t>ブン</t>
    </rPh>
    <phoneticPr fontId="1"/>
  </si>
  <si>
    <t>か月分</t>
    <rPh sb="1" eb="2">
      <t>ゲツ</t>
    </rPh>
    <rPh sb="2" eb="3">
      <t>ブン</t>
    </rPh>
    <phoneticPr fontId="1"/>
  </si>
  <si>
    <t>～</t>
    <phoneticPr fontId="1"/>
  </si>
  <si>
    <t>歳</t>
    <rPh sb="0" eb="1">
      <t>サイ</t>
    </rPh>
    <phoneticPr fontId="1"/>
  </si>
  <si>
    <t>●公的年金等所得の控除額算定</t>
    <rPh sb="1" eb="3">
      <t>コウテキ</t>
    </rPh>
    <rPh sb="3" eb="5">
      <t>ネンキン</t>
    </rPh>
    <rPh sb="5" eb="6">
      <t>トウ</t>
    </rPh>
    <rPh sb="6" eb="8">
      <t>ショトク</t>
    </rPh>
    <rPh sb="9" eb="12">
      <t>コウジョガク</t>
    </rPh>
    <rPh sb="12" eb="14">
      <t>サンテイ</t>
    </rPh>
    <phoneticPr fontId="5"/>
  </si>
  <si>
    <t>÷</t>
    <phoneticPr fontId="5"/>
  </si>
  <si>
    <t>×</t>
    <phoneticPr fontId="5"/>
  </si>
  <si>
    <t>控除額</t>
    <rPh sb="0" eb="3">
      <t>コウジョガク</t>
    </rPh>
    <phoneticPr fontId="5"/>
  </si>
  <si>
    <t>所得金額調整控除の額算式①</t>
    <rPh sb="0" eb="2">
      <t>ショトク</t>
    </rPh>
    <rPh sb="2" eb="4">
      <t>キンガク</t>
    </rPh>
    <rPh sb="4" eb="6">
      <t>チョウセイ</t>
    </rPh>
    <rPh sb="6" eb="8">
      <t>コウジョ</t>
    </rPh>
    <rPh sb="9" eb="10">
      <t>ガク</t>
    </rPh>
    <rPh sb="10" eb="12">
      <t>サンシキ</t>
    </rPh>
    <phoneticPr fontId="5"/>
  </si>
  <si>
    <t>所得金額調整控除の額算式②</t>
    <rPh sb="0" eb="2">
      <t>ショトク</t>
    </rPh>
    <rPh sb="2" eb="4">
      <t>キンガク</t>
    </rPh>
    <rPh sb="4" eb="6">
      <t>チョウセイ</t>
    </rPh>
    <rPh sb="6" eb="8">
      <t>コウジョ</t>
    </rPh>
    <rPh sb="9" eb="10">
      <t>ガク</t>
    </rPh>
    <rPh sb="10" eb="12">
      <t>サンシキ</t>
    </rPh>
    <phoneticPr fontId="5"/>
  </si>
  <si>
    <t>給与所得控除後給与等の金額</t>
    <rPh sb="0" eb="2">
      <t>キュウヨ</t>
    </rPh>
    <rPh sb="2" eb="4">
      <t>ショトク</t>
    </rPh>
    <rPh sb="4" eb="6">
      <t>コウジョ</t>
    </rPh>
    <rPh sb="6" eb="7">
      <t>ゴ</t>
    </rPh>
    <rPh sb="7" eb="9">
      <t>キュウヨ</t>
    </rPh>
    <rPh sb="9" eb="10">
      <t>トウ</t>
    </rPh>
    <rPh sb="11" eb="13">
      <t>キンガク</t>
    </rPh>
    <phoneticPr fontId="5"/>
  </si>
  <si>
    <t>公的年金等に係る雑所得の金額</t>
    <rPh sb="0" eb="2">
      <t>コウテキ</t>
    </rPh>
    <rPh sb="2" eb="4">
      <t>ネンキン</t>
    </rPh>
    <rPh sb="4" eb="5">
      <t>トウ</t>
    </rPh>
    <rPh sb="6" eb="7">
      <t>カカ</t>
    </rPh>
    <rPh sb="8" eb="11">
      <t>ザツショトク</t>
    </rPh>
    <rPh sb="12" eb="14">
      <t>キンガク</t>
    </rPh>
    <phoneticPr fontId="5"/>
  </si>
  <si>
    <t>収入証明書類の提出月数</t>
    <rPh sb="0" eb="2">
      <t>シュウニュウ</t>
    </rPh>
    <rPh sb="2" eb="4">
      <t>ショウメイ</t>
    </rPh>
    <rPh sb="4" eb="6">
      <t>ショルイ</t>
    </rPh>
    <rPh sb="7" eb="9">
      <t>テイシュツ</t>
    </rPh>
    <rPh sb="9" eb="11">
      <t>ツキスウ</t>
    </rPh>
    <phoneticPr fontId="1"/>
  </si>
  <si>
    <t>～</t>
  </si>
  <si>
    <t>給与所得の金額</t>
    <rPh sb="0" eb="2">
      <t>キュウヨ</t>
    </rPh>
    <rPh sb="2" eb="4">
      <t>ショトク</t>
    </rPh>
    <rPh sb="5" eb="7">
      <t>キンガク</t>
    </rPh>
    <phoneticPr fontId="1"/>
  </si>
  <si>
    <t>給与所得の計算式</t>
    <rPh sb="0" eb="2">
      <t>キュウヨ</t>
    </rPh>
    <rPh sb="2" eb="4">
      <t>ショトク</t>
    </rPh>
    <rPh sb="5" eb="8">
      <t>ケイサンシキ</t>
    </rPh>
    <phoneticPr fontId="1"/>
  </si>
  <si>
    <t>収入額－550,000円</t>
    <rPh sb="0" eb="3">
      <t>シュウニュウガク</t>
    </rPh>
    <rPh sb="11" eb="12">
      <t>エン</t>
    </rPh>
    <phoneticPr fontId="1"/>
  </si>
  <si>
    <t>1,069,000円</t>
    <rPh sb="9" eb="10">
      <t>エン</t>
    </rPh>
    <phoneticPr fontId="1"/>
  </si>
  <si>
    <t>1,070,000円</t>
    <rPh sb="9" eb="10">
      <t>エン</t>
    </rPh>
    <phoneticPr fontId="1"/>
  </si>
  <si>
    <t>1,072,000円</t>
    <rPh sb="9" eb="10">
      <t>エン</t>
    </rPh>
    <phoneticPr fontId="1"/>
  </si>
  <si>
    <t>1,074,000円</t>
    <rPh sb="9" eb="10">
      <t>エン</t>
    </rPh>
    <phoneticPr fontId="1"/>
  </si>
  <si>
    <t>収入額－1,950,000円</t>
    <rPh sb="0" eb="3">
      <t>シュウニュウガク</t>
    </rPh>
    <rPh sb="13" eb="14">
      <t>エン</t>
    </rPh>
    <phoneticPr fontId="1"/>
  </si>
  <si>
    <t>収入額×0.9－1,100,000円</t>
    <rPh sb="0" eb="3">
      <t>シュウニュウガク</t>
    </rPh>
    <rPh sb="17" eb="18">
      <t>エン</t>
    </rPh>
    <phoneticPr fontId="1"/>
  </si>
  <si>
    <t>0円</t>
    <rPh sb="1" eb="2">
      <t>エン</t>
    </rPh>
    <phoneticPr fontId="1"/>
  </si>
  <si>
    <t>年齢</t>
    <rPh sb="0" eb="2">
      <t>ネンレイ</t>
    </rPh>
    <phoneticPr fontId="1"/>
  </si>
  <si>
    <t>収入額</t>
    <rPh sb="0" eb="2">
      <t>シュウニュウ</t>
    </rPh>
    <rPh sb="2" eb="3">
      <t>ガク</t>
    </rPh>
    <phoneticPr fontId="1"/>
  </si>
  <si>
    <t>公的年金等所得</t>
    <phoneticPr fontId="1"/>
  </si>
  <si>
    <t>控除額</t>
    <rPh sb="0" eb="2">
      <t>コウジョ</t>
    </rPh>
    <rPh sb="2" eb="3">
      <t>ガク</t>
    </rPh>
    <phoneticPr fontId="1"/>
  </si>
  <si>
    <t>所得金額調整控除額に相当する額</t>
    <rPh sb="0" eb="2">
      <t>ショトク</t>
    </rPh>
    <rPh sb="2" eb="4">
      <t>キンガク</t>
    </rPh>
    <rPh sb="4" eb="6">
      <t>チョウセイ</t>
    </rPh>
    <rPh sb="6" eb="8">
      <t>コウジョ</t>
    </rPh>
    <rPh sb="8" eb="9">
      <t>ガク</t>
    </rPh>
    <phoneticPr fontId="1"/>
  </si>
  <si>
    <t>生徒氏名</t>
    <rPh sb="0" eb="2">
      <t>セイト</t>
    </rPh>
    <rPh sb="2" eb="4">
      <t>シメイ</t>
    </rPh>
    <phoneticPr fontId="1"/>
  </si>
  <si>
    <t>家計急変者氏名</t>
    <rPh sb="0" eb="2">
      <t>カケイ</t>
    </rPh>
    <rPh sb="2" eb="4">
      <t>キュウヘン</t>
    </rPh>
    <rPh sb="4" eb="5">
      <t>シャ</t>
    </rPh>
    <rPh sb="5" eb="7">
      <t>シメイ</t>
    </rPh>
    <phoneticPr fontId="1"/>
  </si>
  <si>
    <t>家計急変者生年月日</t>
    <rPh sb="0" eb="2">
      <t>カケイ</t>
    </rPh>
    <rPh sb="2" eb="4">
      <t>キュウヘン</t>
    </rPh>
    <rPh sb="4" eb="5">
      <t>シャ</t>
    </rPh>
    <rPh sb="5" eb="7">
      <t>セイネン</t>
    </rPh>
    <rPh sb="7" eb="9">
      <t>ガッピ</t>
    </rPh>
    <phoneticPr fontId="1"/>
  </si>
  <si>
    <t>年間換算額
（別紙１の金額）</t>
    <rPh sb="0" eb="2">
      <t>ネンカン</t>
    </rPh>
    <rPh sb="2" eb="4">
      <t>カンサン</t>
    </rPh>
    <rPh sb="4" eb="5">
      <t>ガク</t>
    </rPh>
    <rPh sb="7" eb="9">
      <t>ベッシ</t>
    </rPh>
    <rPh sb="11" eb="13">
      <t>キンガク</t>
    </rPh>
    <phoneticPr fontId="1"/>
  </si>
  <si>
    <t>年間換算額
（別紙２の金額）</t>
    <rPh sb="0" eb="2">
      <t>ネンカン</t>
    </rPh>
    <rPh sb="2" eb="4">
      <t>カンサン</t>
    </rPh>
    <rPh sb="4" eb="5">
      <t>ガク</t>
    </rPh>
    <rPh sb="7" eb="9">
      <t>ベッシ</t>
    </rPh>
    <rPh sb="11" eb="13">
      <t>キンガク</t>
    </rPh>
    <phoneticPr fontId="1"/>
  </si>
  <si>
    <t>年間換算額
（別紙３の金額）</t>
    <rPh sb="0" eb="2">
      <t>ネンカン</t>
    </rPh>
    <rPh sb="2" eb="4">
      <t>カンサン</t>
    </rPh>
    <rPh sb="4" eb="5">
      <t>ガク</t>
    </rPh>
    <rPh sb="7" eb="9">
      <t>ベッシ</t>
    </rPh>
    <rPh sb="11" eb="13">
      <t>キンガク</t>
    </rPh>
    <phoneticPr fontId="1"/>
  </si>
  <si>
    <t>（２）公的年金等に係る雑所得に相当する額</t>
    <rPh sb="3" eb="5">
      <t>コウテキ</t>
    </rPh>
    <rPh sb="5" eb="7">
      <t>ネンキン</t>
    </rPh>
    <rPh sb="7" eb="8">
      <t>トウ</t>
    </rPh>
    <rPh sb="9" eb="10">
      <t>カカ</t>
    </rPh>
    <rPh sb="11" eb="14">
      <t>ザツショトク</t>
    </rPh>
    <rPh sb="15" eb="17">
      <t>ソウトウ</t>
    </rPh>
    <rPh sb="19" eb="20">
      <t>ガク</t>
    </rPh>
    <phoneticPr fontId="1"/>
  </si>
  <si>
    <t>公的年金等控除額
に相当する額</t>
    <rPh sb="0" eb="2">
      <t>コウテキ</t>
    </rPh>
    <rPh sb="2" eb="4">
      <t>ネンキン</t>
    </rPh>
    <rPh sb="4" eb="5">
      <t>トウ</t>
    </rPh>
    <rPh sb="5" eb="8">
      <t>コウジョガク</t>
    </rPh>
    <rPh sb="10" eb="12">
      <t>ソウトウ</t>
    </rPh>
    <rPh sb="14" eb="15">
      <t>ガク</t>
    </rPh>
    <phoneticPr fontId="1"/>
  </si>
  <si>
    <t>給与所得控除額
に相当する額</t>
    <rPh sb="0" eb="2">
      <t>キュウヨ</t>
    </rPh>
    <rPh sb="2" eb="4">
      <t>ショトク</t>
    </rPh>
    <rPh sb="4" eb="7">
      <t>コウジョガク</t>
    </rPh>
    <rPh sb="9" eb="11">
      <t>ソウトウ</t>
    </rPh>
    <rPh sb="13" eb="14">
      <t>ガク</t>
    </rPh>
    <phoneticPr fontId="1"/>
  </si>
  <si>
    <t>公的年金等に係る
雑所得に相当する額</t>
    <rPh sb="0" eb="2">
      <t>コウテキ</t>
    </rPh>
    <rPh sb="2" eb="4">
      <t>ネンキン</t>
    </rPh>
    <rPh sb="4" eb="5">
      <t>トウ</t>
    </rPh>
    <rPh sb="6" eb="7">
      <t>カカ</t>
    </rPh>
    <rPh sb="9" eb="12">
      <t>ザツショトク</t>
    </rPh>
    <rPh sb="13" eb="15">
      <t>ソウトウ</t>
    </rPh>
    <rPh sb="17" eb="18">
      <t>ガク</t>
    </rPh>
    <phoneticPr fontId="1"/>
  </si>
  <si>
    <t>収入証明書類の
提出期間（年月）</t>
    <rPh sb="0" eb="2">
      <t>シュウニュウ</t>
    </rPh>
    <rPh sb="2" eb="4">
      <t>ショウメイ</t>
    </rPh>
    <rPh sb="4" eb="6">
      <t>ショルイ</t>
    </rPh>
    <rPh sb="8" eb="10">
      <t>テイシュツ</t>
    </rPh>
    <rPh sb="10" eb="12">
      <t>キカン</t>
    </rPh>
    <rPh sb="13" eb="15">
      <t>ネンゲツ</t>
    </rPh>
    <phoneticPr fontId="1"/>
  </si>
  <si>
    <t>勤務先③：</t>
    <rPh sb="0" eb="3">
      <t>キンムサキ</t>
    </rPh>
    <phoneticPr fontId="1"/>
  </si>
  <si>
    <t>勤務先②：</t>
    <rPh sb="0" eb="3">
      <t>キンムサキ</t>
    </rPh>
    <phoneticPr fontId="1"/>
  </si>
  <si>
    <t>勤務先④：</t>
    <rPh sb="0" eb="3">
      <t>キンムサキ</t>
    </rPh>
    <phoneticPr fontId="1"/>
  </si>
  <si>
    <t>（A）</t>
    <phoneticPr fontId="1"/>
  </si>
  <si>
    <t>（B）</t>
    <phoneticPr fontId="1"/>
  </si>
  <si>
    <t>左記賞与</t>
    <rPh sb="2" eb="4">
      <t>ショウヨ</t>
    </rPh>
    <phoneticPr fontId="1"/>
  </si>
  <si>
    <t>左記給与計</t>
    <rPh sb="0" eb="2">
      <t>サキ</t>
    </rPh>
    <rPh sb="2" eb="4">
      <t>キュウヨ</t>
    </rPh>
    <rPh sb="4" eb="5">
      <t>ケイ</t>
    </rPh>
    <phoneticPr fontId="1"/>
  </si>
  <si>
    <t>左記期間</t>
    <rPh sb="0" eb="2">
      <t>サキ</t>
    </rPh>
    <rPh sb="2" eb="4">
      <t>キカン</t>
    </rPh>
    <phoneticPr fontId="1"/>
  </si>
  <si>
    <t>合計額</t>
    <rPh sb="0" eb="2">
      <t>ゴウケイ</t>
    </rPh>
    <rPh sb="2" eb="3">
      <t>ガク</t>
    </rPh>
    <phoneticPr fontId="1"/>
  </si>
  <si>
    <t>年間換算額</t>
    <rPh sb="0" eb="2">
      <t>ネンカン</t>
    </rPh>
    <rPh sb="2" eb="4">
      <t>カンサン</t>
    </rPh>
    <rPh sb="4" eb="5">
      <t>ガク</t>
    </rPh>
    <phoneticPr fontId="1"/>
  </si>
  <si>
    <t>家計急変者
生年月日：</t>
    <rPh sb="0" eb="2">
      <t>カケイ</t>
    </rPh>
    <rPh sb="2" eb="4">
      <t>キュウヘン</t>
    </rPh>
    <rPh sb="4" eb="5">
      <t>シャ</t>
    </rPh>
    <rPh sb="6" eb="8">
      <t>セイネン</t>
    </rPh>
    <rPh sb="8" eb="10">
      <t>ガッピ</t>
    </rPh>
    <phoneticPr fontId="1"/>
  </si>
  <si>
    <t>（２）公的年金等収入金額（控除前）</t>
    <rPh sb="3" eb="5">
      <t>コウテキ</t>
    </rPh>
    <rPh sb="5" eb="7">
      <t>ネンキン</t>
    </rPh>
    <rPh sb="7" eb="8">
      <t>トウ</t>
    </rPh>
    <rPh sb="13" eb="15">
      <t>コウジョ</t>
    </rPh>
    <rPh sb="15" eb="16">
      <t>マエ</t>
    </rPh>
    <phoneticPr fontId="1"/>
  </si>
  <si>
    <t>⑤</t>
    <phoneticPr fontId="1"/>
  </si>
  <si>
    <t>（単位：円）</t>
    <rPh sb="1" eb="3">
      <t>タンイ</t>
    </rPh>
    <rPh sb="4" eb="5">
      <t>エン</t>
    </rPh>
    <phoneticPr fontId="1"/>
  </si>
  <si>
    <t>※（１）～（３）の合計金額が合計所得金額に相当する額</t>
    <rPh sb="9" eb="11">
      <t>ゴウケイ</t>
    </rPh>
    <rPh sb="11" eb="13">
      <t>キンガク</t>
    </rPh>
    <rPh sb="14" eb="16">
      <t>ゴウケイ</t>
    </rPh>
    <rPh sb="16" eb="18">
      <t>ショトク</t>
    </rPh>
    <rPh sb="18" eb="20">
      <t>キンガク</t>
    </rPh>
    <rPh sb="21" eb="23">
      <t>ソウトウ</t>
    </rPh>
    <rPh sb="25" eb="26">
      <t>ガク</t>
    </rPh>
    <phoneticPr fontId="1"/>
  </si>
  <si>
    <t>勤務先⑤：</t>
    <rPh sb="0" eb="3">
      <t>キンムサキ</t>
    </rPh>
    <phoneticPr fontId="1"/>
  </si>
  <si>
    <t>※負の場合0</t>
    <phoneticPr fontId="1"/>
  </si>
  <si>
    <t>（一時的な所得）</t>
    <rPh sb="1" eb="3">
      <t>イチジ</t>
    </rPh>
    <rPh sb="3" eb="4">
      <t>テキ</t>
    </rPh>
    <rPh sb="5" eb="7">
      <t>ショトク</t>
    </rPh>
    <phoneticPr fontId="1"/>
  </si>
  <si>
    <t>経　費</t>
    <rPh sb="0" eb="1">
      <t>ヘ</t>
    </rPh>
    <rPh sb="2" eb="3">
      <t>ヒ</t>
    </rPh>
    <phoneticPr fontId="1"/>
  </si>
  <si>
    <t>事業所名
（屋号）：</t>
    <rPh sb="0" eb="3">
      <t>ジギョウショ</t>
    </rPh>
    <rPh sb="3" eb="4">
      <t>メイ</t>
    </rPh>
    <rPh sb="6" eb="8">
      <t>ヤゴウ</t>
    </rPh>
    <phoneticPr fontId="1"/>
  </si>
  <si>
    <t>合計所得金額に
相当する額</t>
    <rPh sb="0" eb="2">
      <t>ゴウケイ</t>
    </rPh>
    <rPh sb="2" eb="4">
      <t>ショトク</t>
    </rPh>
    <rPh sb="4" eb="6">
      <t>キンガク</t>
    </rPh>
    <rPh sb="8" eb="10">
      <t>ソウトウ</t>
    </rPh>
    <rPh sb="12" eb="13">
      <t>ガク</t>
    </rPh>
    <phoneticPr fontId="1"/>
  </si>
  <si>
    <t>（恒常的な所得）</t>
    <rPh sb="1" eb="3">
      <t>コウジョウ</t>
    </rPh>
    <rPh sb="3" eb="4">
      <t>テキ</t>
    </rPh>
    <rPh sb="5" eb="7">
      <t>ショトク</t>
    </rPh>
    <phoneticPr fontId="1"/>
  </si>
  <si>
    <t>所得の具体的内容</t>
    <rPh sb="0" eb="2">
      <t>ショトク</t>
    </rPh>
    <rPh sb="3" eb="5">
      <t>グタイ</t>
    </rPh>
    <rPh sb="5" eb="6">
      <t>テキ</t>
    </rPh>
    <rPh sb="6" eb="8">
      <t>ナイヨウ</t>
    </rPh>
    <phoneticPr fontId="1"/>
  </si>
  <si>
    <t>受領
年月日</t>
    <rPh sb="0" eb="2">
      <t>ズリョウ</t>
    </rPh>
    <rPh sb="3" eb="6">
      <t>ネンガッピ</t>
    </rPh>
    <phoneticPr fontId="1"/>
  </si>
  <si>
    <t>株式を売却した</t>
    <phoneticPr fontId="1"/>
  </si>
  <si>
    <t>山林を伐採して売却した</t>
    <phoneticPr fontId="1"/>
  </si>
  <si>
    <t>土地建物を売却した</t>
    <phoneticPr fontId="1"/>
  </si>
  <si>
    <t>所得の種類</t>
    <rPh sb="0" eb="2">
      <t>ショトク</t>
    </rPh>
    <rPh sb="3" eb="5">
      <t>シュルイ</t>
    </rPh>
    <phoneticPr fontId="1"/>
  </si>
  <si>
    <t>給与所得の金額に
相当する額</t>
    <rPh sb="0" eb="2">
      <t>キュウヨ</t>
    </rPh>
    <rPh sb="2" eb="4">
      <t>ショトク</t>
    </rPh>
    <rPh sb="5" eb="7">
      <t>キンガク</t>
    </rPh>
    <rPh sb="9" eb="11">
      <t>ソウトウ</t>
    </rPh>
    <rPh sb="13" eb="14">
      <t>ガク</t>
    </rPh>
    <phoneticPr fontId="1"/>
  </si>
  <si>
    <t>給与所得控除後の給与等の金額に相当する額</t>
    <rPh sb="6" eb="7">
      <t>ゴ</t>
    </rPh>
    <rPh sb="8" eb="10">
      <t>キュウヨ</t>
    </rPh>
    <rPh sb="10" eb="11">
      <t>トウ</t>
    </rPh>
    <rPh sb="12" eb="14">
      <t>キンガク</t>
    </rPh>
    <rPh sb="15" eb="17">
      <t>ソウトウ</t>
    </rPh>
    <rPh sb="19" eb="20">
      <t>ガク</t>
    </rPh>
    <phoneticPr fontId="1"/>
  </si>
  <si>
    <t>給与収入</t>
    <rPh sb="0" eb="2">
      <t>キュウヨ</t>
    </rPh>
    <rPh sb="2" eb="4">
      <t>シュウニュウ</t>
    </rPh>
    <phoneticPr fontId="1"/>
  </si>
  <si>
    <t>率</t>
    <rPh sb="0" eb="1">
      <t>リツ</t>
    </rPh>
    <phoneticPr fontId="1"/>
  </si>
  <si>
    <t>-850万円</t>
    <rPh sb="4" eb="6">
      <t>マンエン</t>
    </rPh>
    <phoneticPr fontId="1"/>
  </si>
  <si>
    <t>給与所得控除後の給与等の金額に相当する額→</t>
    <phoneticPr fontId="1"/>
  </si>
  <si>
    <t>←該当の場合「はい」</t>
    <rPh sb="1" eb="3">
      <t>ガイトウ</t>
    </rPh>
    <rPh sb="4" eb="6">
      <t>バアイ</t>
    </rPh>
    <phoneticPr fontId="1"/>
  </si>
  <si>
    <t>-10万円</t>
    <rPh sb="3" eb="5">
      <t>マンエン</t>
    </rPh>
    <phoneticPr fontId="1"/>
  </si>
  <si>
    <t>（１）給与所得の金額に相当する額（給与所得控除及び所得金額調整控除後）</t>
    <rPh sb="3" eb="5">
      <t>キュウヨ</t>
    </rPh>
    <rPh sb="5" eb="7">
      <t>ショトク</t>
    </rPh>
    <rPh sb="8" eb="10">
      <t>キンガク</t>
    </rPh>
    <rPh sb="11" eb="13">
      <t>ソウトウ</t>
    </rPh>
    <rPh sb="15" eb="16">
      <t>ガク</t>
    </rPh>
    <rPh sb="17" eb="19">
      <t>キュウヨ</t>
    </rPh>
    <rPh sb="19" eb="21">
      <t>ショトク</t>
    </rPh>
    <rPh sb="21" eb="23">
      <t>コウジョ</t>
    </rPh>
    <rPh sb="23" eb="24">
      <t>オヨ</t>
    </rPh>
    <rPh sb="25" eb="27">
      <t>ショトク</t>
    </rPh>
    <rPh sb="27" eb="29">
      <t>キンガク</t>
    </rPh>
    <rPh sb="29" eb="31">
      <t>チョウセイ</t>
    </rPh>
    <rPh sb="31" eb="33">
      <t>コウジョ</t>
    </rPh>
    <rPh sb="33" eb="34">
      <t>ゴ</t>
    </rPh>
    <phoneticPr fontId="1"/>
  </si>
  <si>
    <t>①○○年金</t>
    <rPh sb="3" eb="5">
      <t>ネンキン</t>
    </rPh>
    <phoneticPr fontId="1"/>
  </si>
  <si>
    <t>②○○年金</t>
    <phoneticPr fontId="1"/>
  </si>
  <si>
    <t>③○○年金</t>
    <phoneticPr fontId="1"/>
  </si>
  <si>
    <t>④○○年金</t>
    <phoneticPr fontId="1"/>
  </si>
  <si>
    <t>（１）給与等収入金額（控除前）</t>
    <rPh sb="5" eb="6">
      <t>トウ</t>
    </rPh>
    <rPh sb="11" eb="13">
      <t>コウジョ</t>
    </rPh>
    <rPh sb="13" eb="14">
      <t>マエ</t>
    </rPh>
    <phoneticPr fontId="1"/>
  </si>
  <si>
    <t>（総表シートへ）</t>
    <rPh sb="1" eb="3">
      <t>ソウヒョウ</t>
    </rPh>
    <phoneticPr fontId="1"/>
  </si>
  <si>
    <t>（３）その他の所得に相当する額（経費控除後）</t>
    <rPh sb="5" eb="6">
      <t>タ</t>
    </rPh>
    <rPh sb="7" eb="9">
      <t>ショトク</t>
    </rPh>
    <rPh sb="10" eb="12">
      <t>ソウトウ</t>
    </rPh>
    <rPh sb="14" eb="15">
      <t>ガク</t>
    </rPh>
    <rPh sb="16" eb="18">
      <t>ケイヒ</t>
    </rPh>
    <rPh sb="18" eb="20">
      <t>コウジョ</t>
    </rPh>
    <rPh sb="20" eb="21">
      <t>ゴ</t>
    </rPh>
    <phoneticPr fontId="1"/>
  </si>
  <si>
    <t>端数調整前</t>
    <rPh sb="0" eb="2">
      <t>ハスウ</t>
    </rPh>
    <rPh sb="2" eb="5">
      <t>チョウセイマエ</t>
    </rPh>
    <phoneticPr fontId="1"/>
  </si>
  <si>
    <t>端数調整後</t>
    <rPh sb="0" eb="2">
      <t>ハスウ</t>
    </rPh>
    <rPh sb="2" eb="5">
      <t>チョウセイゴ</t>
    </rPh>
    <phoneticPr fontId="1"/>
  </si>
  <si>
    <t>rounddown(収入額/4,-3)×2.4+100,000円</t>
    <rPh sb="31" eb="32">
      <t>エン</t>
    </rPh>
    <phoneticPr fontId="1"/>
  </si>
  <si>
    <t>rounddown(収入額/4,-3)×2.8-80,000円</t>
    <rPh sb="30" eb="31">
      <t>エン</t>
    </rPh>
    <phoneticPr fontId="1"/>
  </si>
  <si>
    <t>rounddown(収入額/4,-3)×3.2-440,000円</t>
    <rPh sb="31" eb="32">
      <t>エン</t>
    </rPh>
    <phoneticPr fontId="1"/>
  </si>
  <si>
    <t>給与等の収入金額</t>
    <rPh sb="0" eb="2">
      <t>キュウヨ</t>
    </rPh>
    <rPh sb="2" eb="3">
      <t>トウ</t>
    </rPh>
    <rPh sb="4" eb="6">
      <t>シュウニュウ</t>
    </rPh>
    <rPh sb="6" eb="8">
      <t>キンガク</t>
    </rPh>
    <phoneticPr fontId="1"/>
  </si>
  <si>
    <t>給与所得控除後の給与等の金額に相当する額</t>
    <phoneticPr fontId="1"/>
  </si>
  <si>
    <t>↑</t>
    <phoneticPr fontId="1"/>
  </si>
  <si>
    <t>÷</t>
  </si>
  <si>
    <t>×</t>
  </si>
  <si>
    <t>判定</t>
    <rPh sb="0" eb="2">
      <t>ハンテイ</t>
    </rPh>
    <phoneticPr fontId="5"/>
  </si>
  <si>
    <t>給与所得控除額に相当する額→</t>
    <phoneticPr fontId="1"/>
  </si>
  <si>
    <t>控除等加減算</t>
    <rPh sb="0" eb="2">
      <t>コウジョ</t>
    </rPh>
    <rPh sb="2" eb="3">
      <t>トウ</t>
    </rPh>
    <rPh sb="3" eb="5">
      <t>カゲン</t>
    </rPh>
    <rPh sb="5" eb="6">
      <t>サン</t>
    </rPh>
    <phoneticPr fontId="5"/>
  </si>
  <si>
    <t>収入金額</t>
    <rPh sb="0" eb="2">
      <t>シュウニュウ</t>
    </rPh>
    <rPh sb="2" eb="4">
      <t>キンガク</t>
    </rPh>
    <phoneticPr fontId="1"/>
  </si>
  <si>
    <t>計算後</t>
    <rPh sb="0" eb="2">
      <t>ケイサン</t>
    </rPh>
    <rPh sb="2" eb="3">
      <t>ゴ</t>
    </rPh>
    <phoneticPr fontId="5"/>
  </si>
  <si>
    <t>収入金額</t>
    <rPh sb="0" eb="2">
      <t>シュウニュウ</t>
    </rPh>
    <rPh sb="2" eb="4">
      <t>キンガク</t>
    </rPh>
    <phoneticPr fontId="5"/>
  </si>
  <si>
    <t>加減算</t>
    <rPh sb="0" eb="3">
      <t>カゲンザン</t>
    </rPh>
    <phoneticPr fontId="5"/>
  </si>
  <si>
    <t>○公的年金等に係る雑所得以外の合計所得金額に相当する額の計算</t>
    <rPh sb="12" eb="14">
      <t>イガイ</t>
    </rPh>
    <rPh sb="15" eb="17">
      <t>ゴウケイ</t>
    </rPh>
    <rPh sb="17" eb="19">
      <t>ショトク</t>
    </rPh>
    <rPh sb="19" eb="21">
      <t>キンガク</t>
    </rPh>
    <rPh sb="22" eb="24">
      <t>ソウトウ</t>
    </rPh>
    <rPh sb="26" eb="27">
      <t>ガク</t>
    </rPh>
    <rPh sb="28" eb="30">
      <t>ケイサン</t>
    </rPh>
    <phoneticPr fontId="1"/>
  </si>
  <si>
    <t>※計算に当たってマイナスで記載</t>
    <rPh sb="1" eb="3">
      <t>ケイサン</t>
    </rPh>
    <rPh sb="4" eb="5">
      <t>ア</t>
    </rPh>
    <rPh sb="13" eb="15">
      <t>キサイ</t>
    </rPh>
    <phoneticPr fontId="1"/>
  </si>
  <si>
    <t>その他の所得に相当する額</t>
    <rPh sb="2" eb="3">
      <t>タ</t>
    </rPh>
    <rPh sb="4" eb="6">
      <t>ショトク</t>
    </rPh>
    <rPh sb="7" eb="9">
      <t>ソウトウ</t>
    </rPh>
    <rPh sb="11" eb="12">
      <t>ガク</t>
    </rPh>
    <phoneticPr fontId="1"/>
  </si>
  <si>
    <t>所得金額調整控除額に相当する額 ①</t>
    <rPh sb="8" eb="9">
      <t>ガク</t>
    </rPh>
    <rPh sb="10" eb="12">
      <t>ソウトウ</t>
    </rPh>
    <rPh sb="14" eb="15">
      <t>ガク</t>
    </rPh>
    <phoneticPr fontId="1"/>
  </si>
  <si>
    <t>年金以外</t>
    <rPh sb="0" eb="2">
      <t>ネンキン</t>
    </rPh>
    <rPh sb="2" eb="4">
      <t>イガイ</t>
    </rPh>
    <phoneticPr fontId="1"/>
  </si>
  <si>
    <t>←公的年金等に係る雑所得に相当する額の計算で使用します。以下の基準日を選択すると自動で表示されます。</t>
    <rPh sb="1" eb="3">
      <t>コウテキ</t>
    </rPh>
    <rPh sb="3" eb="5">
      <t>ネンキン</t>
    </rPh>
    <rPh sb="5" eb="6">
      <t>トウ</t>
    </rPh>
    <rPh sb="7" eb="8">
      <t>カカ</t>
    </rPh>
    <rPh sb="9" eb="12">
      <t>ザツショトク</t>
    </rPh>
    <rPh sb="13" eb="15">
      <t>ソウトウ</t>
    </rPh>
    <rPh sb="17" eb="18">
      <t>ガク</t>
    </rPh>
    <rPh sb="19" eb="21">
      <t>ケイサン</t>
    </rPh>
    <rPh sb="22" eb="24">
      <t>シヨウ</t>
    </rPh>
    <rPh sb="28" eb="30">
      <t>イカ</t>
    </rPh>
    <rPh sb="31" eb="34">
      <t>キジュンビ</t>
    </rPh>
    <rPh sb="35" eb="37">
      <t>センタク</t>
    </rPh>
    <rPh sb="40" eb="42">
      <t>ジドウ</t>
    </rPh>
    <rPh sb="43" eb="45">
      <t>ヒョウジ</t>
    </rPh>
    <phoneticPr fontId="1"/>
  </si>
  <si>
    <t>2023(令和5)年4月～2023(令和5)年6月支給分で適用する基準日です。</t>
    <rPh sb="5" eb="7">
      <t>レイワ</t>
    </rPh>
    <rPh sb="29" eb="31">
      <t>テキヨウ</t>
    </rPh>
    <rPh sb="33" eb="36">
      <t>キジュンビ</t>
    </rPh>
    <phoneticPr fontId="1"/>
  </si>
  <si>
    <t>2023(令和5)年7月～2024(令和6)年6月支給分で適用する基準日です。</t>
    <phoneticPr fontId="1"/>
  </si>
  <si>
    <t>2024(令和6)年7月～2025(令和7)年6月支給分で適用する基準日です。</t>
    <phoneticPr fontId="1"/>
  </si>
  <si>
    <t>基準日を選択してください→</t>
    <rPh sb="0" eb="3">
      <t>キジュンビ</t>
    </rPh>
    <rPh sb="4" eb="6">
      <t>センタク</t>
    </rPh>
    <phoneticPr fontId="1"/>
  </si>
  <si>
    <t>参考・確認用</t>
    <rPh sb="0" eb="2">
      <t>サンコウ</t>
    </rPh>
    <rPh sb="3" eb="6">
      <t>カクニンヨウ</t>
    </rPh>
    <phoneticPr fontId="1"/>
  </si>
  <si>
    <t>所得金額調整控除額に相当する額→</t>
    <phoneticPr fontId="1"/>
  </si>
  <si>
    <t>←公的年金等に係る雑所得以外の合計所得金額に相当する額</t>
    <phoneticPr fontId="1"/>
  </si>
  <si>
    <t>●給与所得の算定</t>
    <rPh sb="1" eb="3">
      <t>キュウヨ</t>
    </rPh>
    <rPh sb="3" eb="5">
      <t>ショトク</t>
    </rPh>
    <rPh sb="6" eb="8">
      <t>サンテイ</t>
    </rPh>
    <phoneticPr fontId="5"/>
  </si>
  <si>
    <t>↑850万円を超えると1,000万円を上限に数値が表示される</t>
    <rPh sb="4" eb="6">
      <t>マンエン</t>
    </rPh>
    <rPh sb="7" eb="8">
      <t>コ</t>
    </rPh>
    <rPh sb="16" eb="18">
      <t>マンエン</t>
    </rPh>
    <rPh sb="19" eb="21">
      <t>ジョウゲン</t>
    </rPh>
    <rPh sb="22" eb="24">
      <t>スウチ</t>
    </rPh>
    <rPh sb="25" eb="27">
      <t>ヒョウジ</t>
    </rPh>
    <phoneticPr fontId="1"/>
  </si>
  <si>
    <t>公的年金等に係る雑所得以外の合計所得金額に相当する額</t>
    <phoneticPr fontId="1"/>
  </si>
  <si>
    <t>(参考)</t>
    <rPh sb="1" eb="3">
      <t>サンコウ</t>
    </rPh>
    <phoneticPr fontId="1"/>
  </si>
  <si>
    <t>　所得金額調整控除額に相当する額 ①</t>
    <rPh sb="9" eb="10">
      <t>ガク</t>
    </rPh>
    <rPh sb="11" eb="13">
      <t>ソウトウ</t>
    </rPh>
    <rPh sb="15" eb="16">
      <t>ガク</t>
    </rPh>
    <phoneticPr fontId="1"/>
  </si>
  <si>
    <t>　　→子ども・特別障害者等を有する者等の所得金額調整控除（年収850万円超の方）</t>
    <phoneticPr fontId="1"/>
  </si>
  <si>
    <t>　所得金額調整控除額に相当する額 ②</t>
    <rPh sb="9" eb="10">
      <t>ガク</t>
    </rPh>
    <rPh sb="11" eb="13">
      <t>ソウトウ</t>
    </rPh>
    <rPh sb="15" eb="16">
      <t>ガク</t>
    </rPh>
    <phoneticPr fontId="1"/>
  </si>
  <si>
    <t>　　→給与所得と年金所得の双方を有する者に対する所得金額調整控除</t>
    <phoneticPr fontId="1"/>
  </si>
  <si>
    <t>○所得～2,000円万</t>
    <rPh sb="1" eb="3">
      <t>ショトク</t>
    </rPh>
    <rPh sb="10" eb="11">
      <t>マン</t>
    </rPh>
    <phoneticPr fontId="5"/>
  </si>
  <si>
    <t>○所得～2,000万円</t>
    <rPh sb="1" eb="3">
      <t>ショトク</t>
    </rPh>
    <rPh sb="9" eb="10">
      <t>マン</t>
    </rPh>
    <rPh sb="10" eb="11">
      <t>エン</t>
    </rPh>
    <phoneticPr fontId="5"/>
  </si>
  <si>
    <t>○所得2,000万円超</t>
    <rPh sb="1" eb="3">
      <t>ショトク</t>
    </rPh>
    <rPh sb="8" eb="9">
      <t>マン</t>
    </rPh>
    <rPh sb="10" eb="11">
      <t>コ</t>
    </rPh>
    <phoneticPr fontId="5"/>
  </si>
  <si>
    <t>○65歳以上、所得～1,000万円</t>
    <rPh sb="3" eb="4">
      <t>サイ</t>
    </rPh>
    <rPh sb="4" eb="6">
      <t>イジョウ</t>
    </rPh>
    <rPh sb="7" eb="9">
      <t>ショトク</t>
    </rPh>
    <rPh sb="15" eb="16">
      <t>マン</t>
    </rPh>
    <rPh sb="16" eb="17">
      <t>エン</t>
    </rPh>
    <phoneticPr fontId="5"/>
  </si>
  <si>
    <t>○65歳未満、所得～1,000万円</t>
    <rPh sb="3" eb="4">
      <t>サイ</t>
    </rPh>
    <rPh sb="4" eb="6">
      <t>ミマン</t>
    </rPh>
    <rPh sb="7" eb="9">
      <t>ショトク</t>
    </rPh>
    <rPh sb="15" eb="16">
      <t>マン</t>
    </rPh>
    <rPh sb="16" eb="17">
      <t>エン</t>
    </rPh>
    <phoneticPr fontId="5"/>
  </si>
  <si>
    <t>（月例給）</t>
    <rPh sb="1" eb="3">
      <t>ゲツレイ</t>
    </rPh>
    <rPh sb="3" eb="4">
      <t>キュウ</t>
    </rPh>
    <phoneticPr fontId="1"/>
  </si>
  <si>
    <t>勤務先①：（株）○○○○</t>
    <rPh sb="0" eb="3">
      <t>キンムサキ</t>
    </rPh>
    <rPh sb="6" eb="7">
      <t>カブ</t>
    </rPh>
    <phoneticPr fontId="1"/>
  </si>
  <si>
    <t>離職等の後に再就職等していない場合であって、当該期間における課税所得に該当する収入が一切ない場合は、右欄に「✓」を付してください。この場合、別紙の提出は不要です。</t>
    <rPh sb="15" eb="17">
      <t>バアイ</t>
    </rPh>
    <rPh sb="42" eb="44">
      <t>イッサイ</t>
    </rPh>
    <rPh sb="50" eb="52">
      <t>ウラン</t>
    </rPh>
    <rPh sb="57" eb="58">
      <t>フ</t>
    </rPh>
    <rPh sb="67" eb="69">
      <t>バアイ</t>
    </rPh>
    <rPh sb="70" eb="72">
      <t>ベッシ</t>
    </rPh>
    <rPh sb="73" eb="75">
      <t>テイシュツ</t>
    </rPh>
    <rPh sb="76" eb="78">
      <t>フヨウ</t>
    </rPh>
    <phoneticPr fontId="1"/>
  </si>
  <si>
    <t>②不動産所得</t>
    <rPh sb="1" eb="4">
      <t>フドウサン</t>
    </rPh>
    <rPh sb="4" eb="6">
      <t>ショトク</t>
    </rPh>
    <phoneticPr fontId="1"/>
  </si>
  <si>
    <t>①事業所得</t>
    <rPh sb="1" eb="3">
      <t>ジギョウ</t>
    </rPh>
    <phoneticPr fontId="1"/>
  </si>
  <si>
    <t>③利子所得</t>
    <rPh sb="1" eb="5">
      <t>リシショトク</t>
    </rPh>
    <phoneticPr fontId="1"/>
  </si>
  <si>
    <t>④配当所得</t>
    <rPh sb="1" eb="5">
      <t>ハイトウショトク</t>
    </rPh>
    <phoneticPr fontId="1"/>
  </si>
  <si>
    <t>⑤業務に係る雑所得</t>
    <rPh sb="1" eb="3">
      <t>ギョウム</t>
    </rPh>
    <rPh sb="4" eb="5">
      <t>カカ</t>
    </rPh>
    <rPh sb="6" eb="9">
      <t>ザツショトク</t>
    </rPh>
    <phoneticPr fontId="1"/>
  </si>
  <si>
    <t>⑥その他の雑所得</t>
    <rPh sb="3" eb="4">
      <t>タ</t>
    </rPh>
    <rPh sb="5" eb="8">
      <t>ザツショトク</t>
    </rPh>
    <phoneticPr fontId="1"/>
  </si>
  <si>
    <t>⑦譲渡所得</t>
    <rPh sb="1" eb="3">
      <t>ジョウト</t>
    </rPh>
    <rPh sb="3" eb="5">
      <t>ショトク</t>
    </rPh>
    <phoneticPr fontId="1"/>
  </si>
  <si>
    <t>⑧一時所得</t>
    <rPh sb="1" eb="3">
      <t>イチジ</t>
    </rPh>
    <rPh sb="3" eb="5">
      <t>ショトク</t>
    </rPh>
    <phoneticPr fontId="1"/>
  </si>
  <si>
    <t>⑨山林所得</t>
    <rPh sb="1" eb="3">
      <t>サンリン</t>
    </rPh>
    <rPh sb="3" eb="5">
      <t>ショトク</t>
    </rPh>
    <phoneticPr fontId="1"/>
  </si>
  <si>
    <t>〇〇　〇〇</t>
    <phoneticPr fontId="1"/>
  </si>
  <si>
    <t>①事業所得</t>
  </si>
  <si>
    <t>　この様式は、給与所得・公的年金等に係る雑所得以外のその他の所得がある者のうち、別紙３において一時的な所得があると申告する場合に使用するものです。対象者は、この様式とともに、金額が確認できる書類の写しを提出してください。</t>
    <rPh sb="3" eb="5">
      <t>ヨウシキ</t>
    </rPh>
    <rPh sb="7" eb="9">
      <t>キュウヨ</t>
    </rPh>
    <rPh sb="9" eb="11">
      <t>ショトク</t>
    </rPh>
    <rPh sb="12" eb="14">
      <t>コウテキ</t>
    </rPh>
    <rPh sb="14" eb="16">
      <t>ネンキン</t>
    </rPh>
    <rPh sb="16" eb="17">
      <t>トウ</t>
    </rPh>
    <rPh sb="18" eb="19">
      <t>カカ</t>
    </rPh>
    <rPh sb="20" eb="21">
      <t>ザツ</t>
    </rPh>
    <rPh sb="21" eb="23">
      <t>ショトク</t>
    </rPh>
    <rPh sb="23" eb="25">
      <t>イガイ</t>
    </rPh>
    <rPh sb="28" eb="29">
      <t>タ</t>
    </rPh>
    <rPh sb="30" eb="32">
      <t>ショトク</t>
    </rPh>
    <rPh sb="35" eb="36">
      <t>モノ</t>
    </rPh>
    <rPh sb="40" eb="42">
      <t>ベッシ</t>
    </rPh>
    <rPh sb="47" eb="50">
      <t>イチジテキ</t>
    </rPh>
    <rPh sb="51" eb="53">
      <t>ショトク</t>
    </rPh>
    <rPh sb="57" eb="59">
      <t>シンコク</t>
    </rPh>
    <rPh sb="82" eb="84">
      <t>キンガク</t>
    </rPh>
    <rPh sb="85" eb="87">
      <t>カクニン</t>
    </rPh>
    <rPh sb="90" eb="92">
      <t>ショルイ</t>
    </rPh>
    <phoneticPr fontId="1"/>
  </si>
  <si>
    <t>勤務先①：（株）○○○○</t>
    <rPh sb="0" eb="3">
      <t>キンムサキ</t>
    </rPh>
    <phoneticPr fontId="1"/>
  </si>
  <si>
    <t>※上記月例給がある場合で、当該期間における賞与の支給がない場合は、右欄に「✓」を付してください。この場合、下記賞与欄については、記載の必要はありません。</t>
    <rPh sb="5" eb="7">
      <t>ジョウキ</t>
    </rPh>
    <rPh sb="7" eb="9">
      <t>ゲツレイ</t>
    </rPh>
    <rPh sb="9" eb="10">
      <t>キュウ</t>
    </rPh>
    <rPh sb="13" eb="15">
      <t>バアイ</t>
    </rPh>
    <rPh sb="17" eb="19">
      <t>トウガイ</t>
    </rPh>
    <rPh sb="50" eb="52">
      <t>バアイ</t>
    </rPh>
    <rPh sb="53" eb="55">
      <t>カキ</t>
    </rPh>
    <rPh sb="55" eb="57">
      <t>ショウヨ</t>
    </rPh>
    <rPh sb="57" eb="58">
      <t>ラン</t>
    </rPh>
    <rPh sb="64" eb="66">
      <t>キサイ</t>
    </rPh>
    <rPh sb="67" eb="69">
      <t>ヒツヨウ</t>
    </rPh>
    <phoneticPr fontId="1"/>
  </si>
  <si>
    <t>⑥</t>
    <phoneticPr fontId="1"/>
  </si>
  <si>
    <t>⑦</t>
    <phoneticPr fontId="1"/>
  </si>
  <si>
    <t>⑧</t>
    <phoneticPr fontId="1"/>
  </si>
  <si>
    <t>～一時的な所得に関する計算書～</t>
    <rPh sb="1" eb="4">
      <t>イチジテキ</t>
    </rPh>
    <rPh sb="5" eb="7">
      <t>ショトク</t>
    </rPh>
    <rPh sb="8" eb="9">
      <t>カン</t>
    </rPh>
    <rPh sb="11" eb="14">
      <t>ケイサンショ</t>
    </rPh>
    <phoneticPr fontId="1"/>
  </si>
  <si>
    <t>家計急変事
由発生日：</t>
    <rPh sb="0" eb="2">
      <t>カケイ</t>
    </rPh>
    <rPh sb="2" eb="4">
      <t>キュウヘン</t>
    </rPh>
    <rPh sb="4" eb="5">
      <t>ゴト</t>
    </rPh>
    <rPh sb="6" eb="7">
      <t>ヨシ</t>
    </rPh>
    <rPh sb="7" eb="9">
      <t>ハッセイ</t>
    </rPh>
    <rPh sb="9" eb="10">
      <t>ビ</t>
    </rPh>
    <rPh sb="10" eb="11">
      <t>ネンガッピ</t>
    </rPh>
    <phoneticPr fontId="1"/>
  </si>
  <si>
    <r>
      <t xml:space="preserve">売　上
</t>
    </r>
    <r>
      <rPr>
        <sz val="12"/>
        <rFont val="游ゴシック"/>
        <family val="3"/>
        <charset val="128"/>
        <scheme val="minor"/>
      </rPr>
      <t>（収入・譲渡価格）</t>
    </r>
    <rPh sb="0" eb="1">
      <t>バイ</t>
    </rPh>
    <rPh sb="2" eb="3">
      <t>ウエ</t>
    </rPh>
    <rPh sb="5" eb="6">
      <t>オサム</t>
    </rPh>
    <rPh sb="6" eb="7">
      <t>イ</t>
    </rPh>
    <rPh sb="8" eb="10">
      <t>ジョウト</t>
    </rPh>
    <rPh sb="10" eb="12">
      <t>カカク</t>
    </rPh>
    <phoneticPr fontId="1"/>
  </si>
  <si>
    <r>
      <rPr>
        <sz val="14"/>
        <rFont val="游ゴシック"/>
        <family val="3"/>
        <charset val="128"/>
        <scheme val="minor"/>
      </rPr>
      <t>所　得</t>
    </r>
    <r>
      <rPr>
        <sz val="12"/>
        <rFont val="游ゴシック"/>
        <family val="3"/>
        <charset val="128"/>
        <scheme val="minor"/>
      </rPr>
      <t xml:space="preserve">
（売上－経費）</t>
    </r>
    <rPh sb="0" eb="1">
      <t>ショ</t>
    </rPh>
    <rPh sb="2" eb="3">
      <t>トク</t>
    </rPh>
    <phoneticPr fontId="1"/>
  </si>
  <si>
    <t>～恒常的な所得に関する計算書～</t>
    <rPh sb="1" eb="3">
      <t>コウジョウ</t>
    </rPh>
    <rPh sb="3" eb="4">
      <t>テキ</t>
    </rPh>
    <rPh sb="5" eb="7">
      <t>ショトク</t>
    </rPh>
    <rPh sb="8" eb="9">
      <t>カン</t>
    </rPh>
    <rPh sb="11" eb="14">
      <t>ケイサンショ</t>
    </rPh>
    <phoneticPr fontId="1"/>
  </si>
  <si>
    <t>　この様式は、自営業等である保護者等に家計急変事由が生じ、家計急変支援の審査を行うにあたり収入証明書類として帳簿を提出する際に使用するものです（山林所得を除く）。対象者は、この様式とともに、帳簿の写しを提出してください。
　上記のほか、恒常的な所得がある場合についても、この様式とともに、金額が確認できる書類の写しを提出してください。</t>
    <rPh sb="3" eb="5">
      <t>ヨウシキ</t>
    </rPh>
    <rPh sb="7" eb="10">
      <t>ジエイギョウ</t>
    </rPh>
    <rPh sb="10" eb="11">
      <t>トウ</t>
    </rPh>
    <rPh sb="14" eb="17">
      <t>ホゴシャ</t>
    </rPh>
    <rPh sb="17" eb="18">
      <t>トウ</t>
    </rPh>
    <rPh sb="19" eb="21">
      <t>カケイ</t>
    </rPh>
    <rPh sb="21" eb="23">
      <t>キュウヘン</t>
    </rPh>
    <rPh sb="23" eb="25">
      <t>ジユウ</t>
    </rPh>
    <rPh sb="26" eb="27">
      <t>ショウ</t>
    </rPh>
    <rPh sb="29" eb="31">
      <t>カケイ</t>
    </rPh>
    <rPh sb="31" eb="33">
      <t>キュウヘン</t>
    </rPh>
    <rPh sb="33" eb="35">
      <t>シエン</t>
    </rPh>
    <rPh sb="36" eb="38">
      <t>シンサ</t>
    </rPh>
    <rPh sb="39" eb="40">
      <t>オコナ</t>
    </rPh>
    <rPh sb="45" eb="47">
      <t>シュウニュウ</t>
    </rPh>
    <rPh sb="47" eb="49">
      <t>ショウメイ</t>
    </rPh>
    <rPh sb="49" eb="51">
      <t>ショルイ</t>
    </rPh>
    <rPh sb="54" eb="56">
      <t>チョウボ</t>
    </rPh>
    <rPh sb="57" eb="59">
      <t>テイシュツ</t>
    </rPh>
    <rPh sb="61" eb="62">
      <t>サイ</t>
    </rPh>
    <rPh sb="63" eb="65">
      <t>シヨウ</t>
    </rPh>
    <rPh sb="72" eb="76">
      <t>サンリンショトク</t>
    </rPh>
    <rPh sb="77" eb="78">
      <t>ノゾ</t>
    </rPh>
    <rPh sb="112" eb="114">
      <t>ジョウキ</t>
    </rPh>
    <phoneticPr fontId="1"/>
  </si>
  <si>
    <r>
      <t xml:space="preserve">売　上
</t>
    </r>
    <r>
      <rPr>
        <sz val="12"/>
        <rFont val="游ゴシック"/>
        <family val="3"/>
        <charset val="128"/>
        <scheme val="minor"/>
      </rPr>
      <t>（収入）</t>
    </r>
    <rPh sb="0" eb="1">
      <t>バイ</t>
    </rPh>
    <rPh sb="2" eb="3">
      <t>ウエ</t>
    </rPh>
    <rPh sb="5" eb="7">
      <t>シュウニュウ</t>
    </rPh>
    <phoneticPr fontId="1"/>
  </si>
  <si>
    <r>
      <t xml:space="preserve">所　得
</t>
    </r>
    <r>
      <rPr>
        <sz val="12"/>
        <rFont val="游ゴシック"/>
        <family val="3"/>
        <charset val="128"/>
        <scheme val="minor"/>
      </rPr>
      <t>（売上－経費）</t>
    </r>
    <rPh sb="0" eb="1">
      <t>ショ</t>
    </rPh>
    <rPh sb="2" eb="3">
      <t>トク</t>
    </rPh>
    <phoneticPr fontId="1"/>
  </si>
  <si>
    <t>家計急変事由発生日</t>
    <rPh sb="0" eb="2">
      <t>カケイ</t>
    </rPh>
    <rPh sb="2" eb="4">
      <t>キュウヘン</t>
    </rPh>
    <rPh sb="4" eb="6">
      <t>ジユウ</t>
    </rPh>
    <rPh sb="6" eb="8">
      <t>ハッセイ</t>
    </rPh>
    <rPh sb="8" eb="9">
      <t>ネンガッピ</t>
    </rPh>
    <phoneticPr fontId="1"/>
  </si>
  <si>
    <r>
      <rPr>
        <b/>
        <sz val="10"/>
        <rFont val="游ゴシック"/>
        <family val="3"/>
        <charset val="128"/>
        <scheme val="minor"/>
      </rPr>
      <t>（（１）の年間換算額が850万円を上回る場合のみ右欄から選択してください）</t>
    </r>
    <r>
      <rPr>
        <sz val="10"/>
        <rFont val="游ゴシック"/>
        <family val="3"/>
        <charset val="128"/>
        <scheme val="minor"/>
      </rPr>
      <t>家計急変者、同一生計配偶者、若しくは扶養親族のいずれかが特別障害者である、又は23歳未満の扶養親族がいる</t>
    </r>
    <rPh sb="5" eb="7">
      <t>ネンカン</t>
    </rPh>
    <rPh sb="7" eb="10">
      <t>カンサンガク</t>
    </rPh>
    <rPh sb="14" eb="15">
      <t>マン</t>
    </rPh>
    <rPh sb="15" eb="16">
      <t>エン</t>
    </rPh>
    <rPh sb="17" eb="19">
      <t>ウワマワ</t>
    </rPh>
    <rPh sb="20" eb="22">
      <t>バアイ</t>
    </rPh>
    <rPh sb="24" eb="26">
      <t>ウラン</t>
    </rPh>
    <rPh sb="28" eb="30">
      <t>センタク</t>
    </rPh>
    <rPh sb="37" eb="39">
      <t>カケイ</t>
    </rPh>
    <rPh sb="39" eb="41">
      <t>キュウヘン</t>
    </rPh>
    <rPh sb="41" eb="42">
      <t>シャ</t>
    </rPh>
    <rPh sb="43" eb="45">
      <t>ドウイツ</t>
    </rPh>
    <rPh sb="45" eb="47">
      <t>セイケイ</t>
    </rPh>
    <rPh sb="47" eb="50">
      <t>ハイグウシャ</t>
    </rPh>
    <rPh sb="51" eb="52">
      <t>モ</t>
    </rPh>
    <rPh sb="55" eb="57">
      <t>フヨウ</t>
    </rPh>
    <rPh sb="57" eb="59">
      <t>シンゾク</t>
    </rPh>
    <rPh sb="65" eb="67">
      <t>トクベツ</t>
    </rPh>
    <rPh sb="67" eb="70">
      <t>ショウガイシャ</t>
    </rPh>
    <rPh sb="74" eb="75">
      <t>マタ</t>
    </rPh>
    <rPh sb="78" eb="79">
      <t>サイ</t>
    </rPh>
    <rPh sb="79" eb="81">
      <t>ミマン</t>
    </rPh>
    <rPh sb="82" eb="84">
      <t>フヨウ</t>
    </rPh>
    <rPh sb="84" eb="86">
      <t>シンゾク</t>
    </rPh>
    <phoneticPr fontId="1"/>
  </si>
  <si>
    <t>○高等学校等就学支援金（家計急変支援制度）における年収推計シート（総表）</t>
    <rPh sb="16" eb="18">
      <t>シエン</t>
    </rPh>
    <rPh sb="18" eb="20">
      <t>セイド</t>
    </rPh>
    <rPh sb="27" eb="29">
      <t>スイケイ</t>
    </rPh>
    <rPh sb="33" eb="34">
      <t>ソウ</t>
    </rPh>
    <rPh sb="34" eb="35">
      <t>ヒョウ</t>
    </rPh>
    <phoneticPr fontId="1"/>
  </si>
  <si>
    <t>○高等学校等就学支援金（家計急変支援制度）における年収推計シート（別紙１）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</si>
  <si>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</si>
  <si>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0" eb="32">
      <t>ベッシ</t>
    </rPh>
    <phoneticPr fontId="1"/>
  </si>
  <si>
    <t>○高等学校等就学支援金（家計急変支援制度）における年収推計シート（別紙３-１）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</si>
  <si>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</si>
  <si>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r>
      <t xml:space="preserve">経　費
</t>
    </r>
    <r>
      <rPr>
        <sz val="12"/>
        <rFont val="游ゴシック"/>
        <family val="3"/>
        <charset val="128"/>
        <scheme val="minor"/>
      </rPr>
      <t>（取得費及び譲渡費用）</t>
    </r>
    <rPh sb="0" eb="1">
      <t>ヘ</t>
    </rPh>
    <rPh sb="2" eb="3">
      <t>ヒ</t>
    </rPh>
    <rPh sb="5" eb="8">
      <t>シュトクヒ</t>
    </rPh>
    <rPh sb="8" eb="9">
      <t>オヨ</t>
    </rPh>
    <rPh sb="10" eb="14">
      <t>ジョウトヒヨウ</t>
    </rPh>
    <phoneticPr fontId="1"/>
  </si>
  <si>
    <t>2025(令和7)年7月～2026(令和8)年6月支給分で適用する基準日です。</t>
    <phoneticPr fontId="1"/>
  </si>
  <si>
    <t>2027(令和9)年7月～2028(令和10)年6月支給分で適用する基準日です。</t>
    <phoneticPr fontId="1"/>
  </si>
  <si>
    <t>2028(令和10)年7月～2029(令和11)年6月支給分で適用する基準日です。</t>
    <phoneticPr fontId="1"/>
  </si>
  <si>
    <t>2029(令和11)年7月～2030(令和12)年6月支給分で適用する基準日です。</t>
    <phoneticPr fontId="1"/>
  </si>
  <si>
    <t>2030(令和12)年7月～2031(令和13)年6月支給分で適用する基準日です。</t>
    <phoneticPr fontId="1"/>
  </si>
  <si>
    <t>2026(令和8)年7月～2027(令和9)年6月支給分で適用する基準日です。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</si>
</sst>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quot;×&quot;General"/>
    <numFmt numFmtId="178" formatCode="#,##0_ ;[Red]\-#,##0\ "/>
    <numFmt numFmtId="179" formatCode="#,##0&quot;円&quot;;&quot;▲ &quot;#,##0&quot;円&quot;"/>
    <numFmt numFmtId="180" formatCode="yyyy/m;@"/>
    <numFmt numFmtId="181" formatCode="\(\ 0&quot;か&quot;&quot;月&quot;&quot;分&quot;\)"/>
    <numFmt numFmtId="182" formatCode="#,##0&quot;回&quot;;&quot;▲ &quot;#,##0&quot;回&quot;"/>
    <numFmt numFmtId="183" formatCode="\(0&quot;か月分&quot;\)"/>
    <numFmt numFmtId="184" formatCode="yyyy/m"/>
    <numFmt numFmtId="185" formatCode="yyyy&quot;年&quot;"/>
    <numFmt numFmtId="186" formatCode="m&quot;月&quot;&quot;分&quot;"/>
    <numFmt numFmtId="187" formatCode="yyyy&quot;年&quot;\ \ m&quot;月&quot;&quot;分&quot;"/>
  </numFmts>
  <fonts count="29">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6"/>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3"/>
      <charset val="128"/>
      <scheme val="minor"/>
    </font>
    <font>
      <b/>
      <u/>
      <sz val="18"/>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indexed="81"/>
      <name val="MS P ゴシック"/>
      <family val="3"/>
      <charset val="128"/>
    </font>
    <font>
      <sz val="10.5"/>
      <color theme="1"/>
      <name val="游ゴシック"/>
      <family val="3"/>
      <charset val="128"/>
      <scheme val="minor"/>
    </font>
    <font>
      <sz val="14"/>
      <name val="游ゴシック"/>
      <family val="3"/>
      <charset val="128"/>
      <scheme val="minor"/>
    </font>
    <font>
      <sz val="10"/>
      <name val="游ゴシック"/>
      <family val="3"/>
      <charset val="128"/>
      <scheme val="minor"/>
    </font>
    <font>
      <sz val="13"/>
      <color theme="1"/>
      <name val="游ゴシック"/>
      <family val="3"/>
      <charset val="128"/>
      <scheme val="minor"/>
    </font>
    <font>
      <b/>
      <u/>
      <sz val="18"/>
      <name val="游ゴシック"/>
      <family val="3"/>
      <charset val="128"/>
      <scheme val="minor"/>
    </font>
    <font>
      <sz val="13"/>
      <name val="游ゴシック"/>
      <family val="3"/>
      <charset val="128"/>
      <scheme val="minor"/>
    </font>
    <font>
      <sz val="12"/>
      <name val="游ゴシック"/>
      <family val="3"/>
      <charset val="128"/>
      <scheme val="minor"/>
    </font>
    <font>
      <sz val="22"/>
      <name val="游ゴシック"/>
      <family val="3"/>
      <charset val="128"/>
      <scheme val="minor"/>
    </font>
    <font>
      <b/>
      <sz val="10"/>
      <name val="游ゴシック"/>
      <family val="3"/>
      <charset val="128"/>
      <scheme val="minor"/>
    </font>
    <font>
      <sz val="20"/>
      <name val="游ゴシック"/>
      <family val="3"/>
      <charset val="128"/>
      <scheme val="minor"/>
    </font>
    <font>
      <sz val="8"/>
      <name val="游ゴシック"/>
      <family val="3"/>
      <charset val="128"/>
      <scheme val="minor"/>
    </font>
    <font>
      <b/>
      <sz val="11"/>
      <color rgb="FFFF000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xf numFmtId="0" fontId="14" fillId="0" borderId="0">
      <alignment vertical="center"/>
    </xf>
    <xf numFmtId="38" fontId="14" fillId="0" borderId="0" applyFont="0" applyFill="0" applyBorder="0" applyAlignment="0" applyProtection="0">
      <alignment vertical="center"/>
    </xf>
  </cellStyleXfs>
  <cellXfs count="230">
    <xf numFmtId="0" fontId="0" fillId="0" borderId="0" xfId="0">
      <alignment vertical="center"/>
    </xf>
    <xf numFmtId="0" fontId="0" fillId="0" borderId="2" xfId="0" applyBorder="1">
      <alignment vertical="center"/>
    </xf>
    <xf numFmtId="0" fontId="0" fillId="0" borderId="0" xfId="0" applyAlignment="1">
      <alignment horizontal="center" vertical="center"/>
    </xf>
    <xf numFmtId="176" fontId="0" fillId="0" borderId="0" xfId="0" applyNumberFormat="1">
      <alignment vertical="center"/>
    </xf>
    <xf numFmtId="0" fontId="2" fillId="0" borderId="0" xfId="0" applyFont="1">
      <alignment vertical="center"/>
    </xf>
    <xf numFmtId="177" fontId="0" fillId="0" borderId="0" xfId="0" applyNumberFormat="1" applyAlignment="1">
      <alignment horizontal="center" vertical="center"/>
    </xf>
    <xf numFmtId="0" fontId="0" fillId="0" borderId="7" xfId="0" applyBorder="1">
      <alignment vertical="center"/>
    </xf>
    <xf numFmtId="38" fontId="0" fillId="0" borderId="0" xfId="1" applyFont="1">
      <alignment vertical="center"/>
    </xf>
    <xf numFmtId="0" fontId="0" fillId="0" borderId="2" xfId="0" applyBorder="1" applyAlignment="1">
      <alignment horizontal="center" vertical="center"/>
    </xf>
    <xf numFmtId="14" fontId="0" fillId="0" borderId="0" xfId="0" applyNumberFormat="1">
      <alignment vertical="center"/>
    </xf>
    <xf numFmtId="0" fontId="6" fillId="2" borderId="0" xfId="0" applyFont="1" applyFill="1">
      <alignment vertical="center"/>
    </xf>
    <xf numFmtId="0" fontId="6" fillId="2"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78" fontId="0" fillId="0" borderId="0" xfId="0" applyNumberFormat="1">
      <alignment vertical="center"/>
    </xf>
    <xf numFmtId="178" fontId="0" fillId="0" borderId="2" xfId="0" applyNumberFormat="1" applyBorder="1">
      <alignment vertical="center"/>
    </xf>
    <xf numFmtId="38" fontId="0" fillId="0" borderId="0" xfId="1" applyFont="1" applyAlignment="1">
      <alignment horizontal="center" vertical="center"/>
    </xf>
    <xf numFmtId="38" fontId="0" fillId="0" borderId="2" xfId="1" applyFont="1" applyBorder="1" applyAlignment="1">
      <alignment horizontal="center" vertical="center"/>
    </xf>
    <xf numFmtId="177" fontId="0" fillId="0" borderId="0" xfId="0" applyNumberFormat="1" applyAlignment="1">
      <alignment horizontal="center" vertical="top"/>
    </xf>
    <xf numFmtId="176" fontId="12" fillId="0" borderId="2" xfId="0" applyNumberFormat="1" applyFont="1" applyBorder="1" applyAlignment="1">
      <alignment vertical="center" shrinkToFit="1"/>
    </xf>
    <xf numFmtId="176" fontId="12" fillId="0" borderId="1" xfId="0" applyNumberFormat="1" applyFont="1" applyBorder="1" applyAlignment="1">
      <alignment vertical="center" shrinkToFit="1"/>
    </xf>
    <xf numFmtId="0" fontId="11" fillId="0" borderId="0" xfId="0" applyFont="1">
      <alignment vertical="center"/>
    </xf>
    <xf numFmtId="0" fontId="2" fillId="0" borderId="29" xfId="0" applyFont="1" applyBorder="1" applyAlignment="1">
      <alignment vertical="center" wrapText="1"/>
    </xf>
    <xf numFmtId="14" fontId="2" fillId="0" borderId="30" xfId="0" applyNumberFormat="1" applyFont="1" applyBorder="1">
      <alignment vertical="center"/>
    </xf>
    <xf numFmtId="0" fontId="9" fillId="0" borderId="0" xfId="0" applyFont="1" applyAlignment="1">
      <alignment horizontal="center"/>
    </xf>
    <xf numFmtId="177" fontId="9" fillId="0" borderId="0" xfId="0" applyNumberFormat="1" applyFont="1" applyAlignment="1">
      <alignment horizontal="center" vertical="top"/>
    </xf>
    <xf numFmtId="0" fontId="9" fillId="0" borderId="0" xfId="0" applyFont="1" applyAlignment="1">
      <alignment horizontal="right" vertical="center"/>
    </xf>
    <xf numFmtId="0" fontId="9" fillId="0" borderId="0" xfId="0" applyFont="1">
      <alignment vertical="center"/>
    </xf>
    <xf numFmtId="0" fontId="2" fillId="0" borderId="0" xfId="0" applyFont="1" applyAlignment="1">
      <alignment horizontal="right" vertical="center"/>
    </xf>
    <xf numFmtId="176" fontId="2" fillId="0" borderId="0" xfId="0" applyNumberFormat="1" applyFont="1" applyAlignment="1">
      <alignment horizontal="center"/>
    </xf>
    <xf numFmtId="176" fontId="12" fillId="0" borderId="31" xfId="0" applyNumberFormat="1" applyFont="1" applyBorder="1" applyAlignment="1">
      <alignment vertical="center" shrinkToFit="1"/>
    </xf>
    <xf numFmtId="0" fontId="9" fillId="0" borderId="0" xfId="0" applyFont="1" applyAlignment="1">
      <alignment horizontal="center" vertical="center" shrinkToFit="1"/>
    </xf>
    <xf numFmtId="176" fontId="10" fillId="0" borderId="2"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31" xfId="0" applyNumberFormat="1" applyFont="1" applyBorder="1" applyAlignment="1">
      <alignment vertical="center" shrinkToFit="1"/>
    </xf>
    <xf numFmtId="0" fontId="9" fillId="0" borderId="26" xfId="0" applyFont="1" applyBorder="1">
      <alignment vertical="center"/>
    </xf>
    <xf numFmtId="0" fontId="0" fillId="0" borderId="14" xfId="0" applyBorder="1" applyAlignment="1">
      <alignment horizontal="center" vertical="center"/>
    </xf>
    <xf numFmtId="0" fontId="9" fillId="0" borderId="0" xfId="0" applyFont="1" applyAlignment="1">
      <alignment horizontal="center" shrinkToFit="1"/>
    </xf>
    <xf numFmtId="178" fontId="0" fillId="0" borderId="0" xfId="0" applyNumberFormat="1" applyAlignment="1">
      <alignment horizontal="right" vertical="center"/>
    </xf>
    <xf numFmtId="178" fontId="0" fillId="0" borderId="2" xfId="0" applyNumberFormat="1" applyBorder="1" applyAlignment="1">
      <alignment horizontal="right" vertical="center"/>
    </xf>
    <xf numFmtId="0" fontId="0" fillId="0" borderId="0" xfId="0" applyAlignment="1">
      <alignment horizontal="right" vertical="center"/>
    </xf>
    <xf numFmtId="38" fontId="0" fillId="4" borderId="2" xfId="1" applyFont="1" applyFill="1" applyBorder="1" applyAlignment="1">
      <alignment horizontal="center" vertical="center" shrinkToFit="1"/>
    </xf>
    <xf numFmtId="0" fontId="13" fillId="0" borderId="0" xfId="0" applyFont="1" applyAlignment="1">
      <alignment horizontal="right" vertical="center"/>
    </xf>
    <xf numFmtId="0" fontId="0" fillId="0" borderId="30" xfId="0" applyBorder="1">
      <alignment vertical="center"/>
    </xf>
    <xf numFmtId="0" fontId="0" fillId="0" borderId="30" xfId="0" applyBorder="1" applyAlignment="1">
      <alignment horizontal="right" vertical="center"/>
    </xf>
    <xf numFmtId="178" fontId="0" fillId="0" borderId="30" xfId="0" applyNumberFormat="1" applyBorder="1">
      <alignment vertical="center"/>
    </xf>
    <xf numFmtId="0" fontId="0" fillId="4" borderId="2" xfId="0" applyFill="1" applyBorder="1" applyAlignment="1">
      <alignment horizontal="center" vertical="center" shrinkToFit="1"/>
    </xf>
    <xf numFmtId="178" fontId="0" fillId="0" borderId="2" xfId="1" applyNumberFormat="1" applyFont="1" applyBorder="1">
      <alignment vertical="center"/>
    </xf>
    <xf numFmtId="0" fontId="0" fillId="4" borderId="2" xfId="0" applyFill="1" applyBorder="1">
      <alignment vertical="center"/>
    </xf>
    <xf numFmtId="178" fontId="6" fillId="0" borderId="2" xfId="1" applyNumberFormat="1" applyFont="1" applyBorder="1">
      <alignment vertical="center"/>
    </xf>
    <xf numFmtId="0" fontId="14" fillId="4" borderId="2" xfId="0" applyFont="1" applyFill="1" applyBorder="1" applyAlignment="1">
      <alignment horizontal="center" vertical="center"/>
    </xf>
    <xf numFmtId="0" fontId="14" fillId="4" borderId="2" xfId="0" quotePrefix="1" applyFont="1" applyFill="1" applyBorder="1" applyAlignment="1">
      <alignment horizontal="center" vertical="center"/>
    </xf>
    <xf numFmtId="38" fontId="14" fillId="4" borderId="2" xfId="1" applyFont="1" applyFill="1" applyBorder="1" applyAlignment="1">
      <alignment horizontal="center" vertical="center"/>
    </xf>
    <xf numFmtId="0" fontId="7" fillId="4" borderId="2" xfId="0" applyFont="1" applyFill="1" applyBorder="1" applyAlignment="1">
      <alignment horizontal="center" vertical="center"/>
    </xf>
    <xf numFmtId="0" fontId="0" fillId="0" borderId="0" xfId="0" applyAlignment="1">
      <alignment horizontal="center" vertical="center" shrinkToFit="1"/>
    </xf>
    <xf numFmtId="178" fontId="0" fillId="0" borderId="2" xfId="1" applyNumberFormat="1" applyFont="1" applyBorder="1" applyAlignment="1">
      <alignment horizontal="right" vertical="center" shrinkToFit="1"/>
    </xf>
    <xf numFmtId="38" fontId="0" fillId="0" borderId="2" xfId="1" applyFont="1" applyBorder="1" applyAlignment="1">
      <alignment horizontal="center" vertical="center" shrinkToFit="1"/>
    </xf>
    <xf numFmtId="0" fontId="0" fillId="0" borderId="2" xfId="0" applyBorder="1" applyAlignment="1">
      <alignment horizontal="right" vertical="center" shrinkToFit="1"/>
    </xf>
    <xf numFmtId="0" fontId="0" fillId="0" borderId="0" xfId="0" applyAlignment="1">
      <alignment vertical="center" shrinkToFit="1"/>
    </xf>
    <xf numFmtId="0" fontId="0" fillId="0" borderId="2" xfId="0" applyBorder="1" applyAlignment="1">
      <alignment vertical="center" shrinkToFit="1"/>
    </xf>
    <xf numFmtId="178" fontId="0" fillId="0" borderId="2" xfId="0" applyNumberFormat="1" applyBorder="1" applyAlignment="1">
      <alignment horizontal="right" vertical="center" shrinkToFit="1"/>
    </xf>
    <xf numFmtId="38" fontId="0" fillId="0" borderId="0" xfId="1" applyFont="1" applyFill="1" applyBorder="1" applyAlignment="1">
      <alignment horizontal="center" vertical="center" shrinkToFit="1"/>
    </xf>
    <xf numFmtId="178" fontId="0" fillId="0" borderId="0" xfId="0" applyNumberFormat="1" applyAlignment="1">
      <alignment horizontal="right" vertical="center" shrinkToFit="1"/>
    </xf>
    <xf numFmtId="0" fontId="0" fillId="0" borderId="0" xfId="0" applyAlignment="1">
      <alignment horizontal="left" vertical="center"/>
    </xf>
    <xf numFmtId="0" fontId="16" fillId="0" borderId="0" xfId="0" applyFont="1">
      <alignment vertical="center"/>
    </xf>
    <xf numFmtId="0" fontId="20" fillId="0" borderId="0" xfId="0" applyFont="1">
      <alignment vertical="center"/>
    </xf>
    <xf numFmtId="0" fontId="6" fillId="0" borderId="0" xfId="0" applyFont="1">
      <alignment vertical="center"/>
    </xf>
    <xf numFmtId="0" fontId="17" fillId="0" borderId="0" xfId="0" applyFont="1">
      <alignment vertical="center"/>
    </xf>
    <xf numFmtId="0" fontId="17" fillId="0" borderId="7" xfId="0" applyFont="1" applyBorder="1" applyAlignment="1">
      <alignment vertical="center" wrapText="1"/>
    </xf>
    <xf numFmtId="14" fontId="17" fillId="0" borderId="0" xfId="0" applyNumberFormat="1" applyFont="1">
      <alignment vertical="center"/>
    </xf>
    <xf numFmtId="0" fontId="17" fillId="0" borderId="0" xfId="0" applyFont="1" applyAlignment="1">
      <alignment horizontal="left" vertical="center" shrinkToFit="1"/>
    </xf>
    <xf numFmtId="0" fontId="17" fillId="0" borderId="24" xfId="0" applyFont="1" applyBorder="1" applyAlignment="1">
      <alignment vertical="center" shrinkToFit="1"/>
    </xf>
    <xf numFmtId="0" fontId="17" fillId="0" borderId="30" xfId="0" applyFont="1" applyBorder="1" applyAlignment="1">
      <alignment vertical="center" wrapText="1"/>
    </xf>
    <xf numFmtId="14" fontId="17" fillId="0" borderId="30" xfId="0" applyNumberFormat="1" applyFont="1" applyBorder="1">
      <alignment vertical="center"/>
    </xf>
    <xf numFmtId="0" fontId="17" fillId="0" borderId="26" xfId="0" applyFont="1" applyBorder="1">
      <alignment vertical="center"/>
    </xf>
    <xf numFmtId="14" fontId="6" fillId="0" borderId="0" xfId="0" applyNumberFormat="1" applyFont="1">
      <alignment vertical="center"/>
    </xf>
    <xf numFmtId="0" fontId="17" fillId="0" borderId="0" xfId="0" applyFont="1" applyAlignment="1">
      <alignment horizontal="right" vertical="center"/>
    </xf>
    <xf numFmtId="176" fontId="8" fillId="0" borderId="0" xfId="0" applyNumberFormat="1" applyFont="1" applyAlignment="1">
      <alignment vertical="center" wrapText="1" shrinkToFit="1"/>
    </xf>
    <xf numFmtId="176" fontId="6" fillId="0" borderId="0" xfId="0" applyNumberFormat="1" applyFont="1">
      <alignment vertical="center"/>
    </xf>
    <xf numFmtId="0" fontId="17" fillId="0" borderId="2" xfId="0" applyFont="1" applyBorder="1" applyAlignment="1">
      <alignment vertical="center" shrinkToFit="1"/>
    </xf>
    <xf numFmtId="0" fontId="17" fillId="3" borderId="6" xfId="0" applyFont="1" applyFill="1" applyBorder="1" applyAlignment="1">
      <alignment vertical="center" wrapText="1"/>
    </xf>
    <xf numFmtId="176" fontId="8" fillId="0" borderId="7" xfId="0" applyNumberFormat="1" applyFont="1" applyBorder="1" applyAlignment="1">
      <alignment vertical="center" wrapText="1" shrinkToFit="1"/>
    </xf>
    <xf numFmtId="0" fontId="17" fillId="0" borderId="29" xfId="0" applyFont="1" applyBorder="1" applyAlignment="1">
      <alignment vertical="center" wrapText="1"/>
    </xf>
    <xf numFmtId="0" fontId="17" fillId="0" borderId="7" xfId="0" applyFont="1" applyBorder="1">
      <alignment vertical="center"/>
    </xf>
    <xf numFmtId="176" fontId="8" fillId="0" borderId="2" xfId="0" applyNumberFormat="1" applyFont="1" applyBorder="1" applyAlignment="1">
      <alignment vertical="center" shrinkToFit="1"/>
    </xf>
    <xf numFmtId="177" fontId="6" fillId="0" borderId="0" xfId="0" applyNumberFormat="1" applyFont="1" applyAlignment="1">
      <alignment horizontal="center" vertical="center"/>
    </xf>
    <xf numFmtId="176" fontId="17" fillId="0" borderId="0" xfId="0" applyNumberFormat="1" applyFont="1" applyAlignment="1">
      <alignment horizontal="center"/>
    </xf>
    <xf numFmtId="177" fontId="17" fillId="0" borderId="0" xfId="0" applyNumberFormat="1" applyFont="1" applyAlignment="1">
      <alignment horizontal="center" vertical="center"/>
    </xf>
    <xf numFmtId="176" fontId="8" fillId="0" borderId="1" xfId="0" applyNumberFormat="1" applyFont="1" applyBorder="1" applyAlignment="1">
      <alignment vertical="center" shrinkToFit="1"/>
    </xf>
    <xf numFmtId="177" fontId="17" fillId="0" borderId="0" xfId="0" applyNumberFormat="1" applyFont="1" applyAlignment="1">
      <alignment horizontal="center" vertical="top"/>
    </xf>
    <xf numFmtId="0" fontId="17" fillId="0" borderId="24" xfId="0" applyFont="1" applyBorder="1">
      <alignment vertical="center"/>
    </xf>
    <xf numFmtId="176" fontId="6" fillId="0" borderId="24" xfId="0" applyNumberFormat="1" applyFont="1" applyBorder="1">
      <alignment vertical="center"/>
    </xf>
    <xf numFmtId="0" fontId="17" fillId="0" borderId="0" xfId="0" applyFont="1" applyAlignment="1">
      <alignment horizontal="center" vertical="top"/>
    </xf>
    <xf numFmtId="176" fontId="17" fillId="0" borderId="2" xfId="0" applyNumberFormat="1" applyFont="1" applyBorder="1" applyAlignment="1">
      <alignment horizontal="center" vertical="center" shrinkToFit="1"/>
    </xf>
    <xf numFmtId="0" fontId="17" fillId="0" borderId="0" xfId="0" applyFont="1" applyAlignment="1">
      <alignment horizontal="center"/>
    </xf>
    <xf numFmtId="176" fontId="8" fillId="0" borderId="31" xfId="0" applyNumberFormat="1" applyFont="1" applyBorder="1" applyAlignment="1">
      <alignment vertical="center" shrinkToFit="1"/>
    </xf>
    <xf numFmtId="0" fontId="6" fillId="0" borderId="26" xfId="0" applyFont="1" applyBorder="1">
      <alignment vertical="center"/>
    </xf>
    <xf numFmtId="176" fontId="6" fillId="0" borderId="26" xfId="0" applyNumberFormat="1" applyFont="1" applyBorder="1">
      <alignment vertical="center"/>
    </xf>
    <xf numFmtId="176" fontId="6" fillId="0" borderId="26" xfId="0" applyNumberFormat="1" applyFont="1" applyBorder="1" applyAlignment="1">
      <alignment horizontal="center" vertical="center" shrinkToFit="1"/>
    </xf>
    <xf numFmtId="0" fontId="6" fillId="2" borderId="15" xfId="0" applyFont="1" applyFill="1" applyBorder="1">
      <alignment vertical="center"/>
    </xf>
    <xf numFmtId="0" fontId="6" fillId="2" borderId="23" xfId="0" applyFont="1" applyFill="1" applyBorder="1">
      <alignment vertical="center"/>
    </xf>
    <xf numFmtId="0" fontId="6" fillId="2" borderId="1" xfId="0" applyFont="1" applyFill="1" applyBorder="1">
      <alignment vertical="center"/>
    </xf>
    <xf numFmtId="0" fontId="8" fillId="2" borderId="0" xfId="0" applyFont="1" applyFill="1" applyAlignment="1">
      <alignment horizontal="center" vertical="center" shrinkToFit="1"/>
    </xf>
    <xf numFmtId="180" fontId="6"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shrinkToFit="1"/>
    </xf>
    <xf numFmtId="180" fontId="6" fillId="2" borderId="0" xfId="0" applyNumberFormat="1" applyFont="1" applyFill="1">
      <alignment vertical="center"/>
    </xf>
    <xf numFmtId="181" fontId="6" fillId="2" borderId="0" xfId="0" applyNumberFormat="1" applyFont="1" applyFill="1">
      <alignment vertical="center"/>
    </xf>
    <xf numFmtId="179" fontId="8" fillId="2" borderId="20" xfId="0" applyNumberFormat="1" applyFont="1" applyFill="1" applyBorder="1" applyAlignment="1">
      <alignment vertical="center" shrinkToFit="1"/>
    </xf>
    <xf numFmtId="176" fontId="8" fillId="2" borderId="0" xfId="0" applyNumberFormat="1" applyFont="1" applyFill="1" applyAlignment="1">
      <alignment vertical="center" shrinkToFit="1"/>
    </xf>
    <xf numFmtId="0" fontId="6" fillId="2" borderId="0" xfId="0" applyFont="1" applyFill="1" applyAlignment="1">
      <alignment horizontal="center" vertical="center"/>
    </xf>
    <xf numFmtId="0" fontId="6" fillId="2" borderId="0" xfId="0" applyFont="1" applyFill="1" applyAlignment="1">
      <alignment horizontal="right" vertical="top"/>
    </xf>
    <xf numFmtId="0" fontId="26" fillId="2" borderId="1" xfId="0" applyFont="1" applyFill="1" applyBorder="1" applyAlignment="1">
      <alignment vertical="center" wrapText="1"/>
    </xf>
    <xf numFmtId="0" fontId="6" fillId="2" borderId="0" xfId="0" applyFont="1" applyFill="1" applyAlignment="1">
      <alignment horizontal="right"/>
    </xf>
    <xf numFmtId="0" fontId="6" fillId="2" borderId="0" xfId="0" applyFont="1" applyFill="1" applyAlignment="1">
      <alignment horizontal="right" vertical="center"/>
    </xf>
    <xf numFmtId="0" fontId="6" fillId="2" borderId="0" xfId="0" applyFont="1" applyFill="1" applyAlignment="1">
      <alignment horizontal="right" indent="1"/>
    </xf>
    <xf numFmtId="0" fontId="6" fillId="2" borderId="0" xfId="0" applyFont="1" applyFill="1" applyAlignment="1">
      <alignment horizontal="right" vertical="center" indent="1"/>
    </xf>
    <xf numFmtId="17" fontId="6" fillId="2" borderId="0" xfId="0" applyNumberFormat="1" applyFont="1" applyFill="1">
      <alignment vertical="center"/>
    </xf>
    <xf numFmtId="184" fontId="0" fillId="0" borderId="0" xfId="0" applyNumberFormat="1">
      <alignmen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vertical="center" shrinkToFit="1"/>
    </xf>
    <xf numFmtId="176" fontId="0" fillId="0" borderId="4" xfId="0" applyNumberFormat="1" applyBorder="1" applyAlignment="1">
      <alignment vertical="center" shrinkToFit="1"/>
    </xf>
    <xf numFmtId="0" fontId="17" fillId="0" borderId="4" xfId="0" applyFont="1" applyBorder="1" applyAlignment="1">
      <alignment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176" fontId="6" fillId="0" borderId="4" xfId="0" applyNumberFormat="1" applyFont="1" applyBorder="1" applyAlignment="1">
      <alignment vertical="center" shrinkToFit="1"/>
    </xf>
    <xf numFmtId="176" fontId="17" fillId="0" borderId="17" xfId="0" applyNumberFormat="1" applyFont="1" applyBorder="1" applyAlignment="1">
      <alignment horizontal="center" shrinkToFit="1"/>
    </xf>
    <xf numFmtId="176" fontId="6" fillId="0" borderId="2" xfId="0" applyNumberFormat="1" applyFont="1" applyBorder="1" applyAlignment="1">
      <alignment vertical="center" shrinkToFit="1"/>
    </xf>
    <xf numFmtId="0" fontId="17" fillId="0" borderId="0" xfId="0" applyFont="1" applyAlignment="1">
      <alignment horizontal="center" shrinkToFit="1"/>
    </xf>
    <xf numFmtId="0" fontId="25" fillId="3" borderId="1" xfId="0" applyFont="1" applyFill="1" applyBorder="1" applyAlignment="1" applyProtection="1">
      <alignment horizontal="center" vertical="center" shrinkToFit="1"/>
      <protection locked="0"/>
    </xf>
    <xf numFmtId="180" fontId="6" fillId="3" borderId="19" xfId="0" applyNumberFormat="1" applyFont="1" applyFill="1" applyBorder="1" applyAlignment="1" applyProtection="1">
      <alignment horizontal="right" vertical="center" indent="2" shrinkToFit="1"/>
      <protection locked="0"/>
    </xf>
    <xf numFmtId="180" fontId="6" fillId="3" borderId="20" xfId="0" applyNumberFormat="1" applyFont="1" applyFill="1" applyBorder="1" applyAlignment="1" applyProtection="1">
      <alignment horizontal="right" vertical="center" indent="2" shrinkToFit="1"/>
      <protection locked="0"/>
    </xf>
    <xf numFmtId="0" fontId="17" fillId="3" borderId="4" xfId="0" applyFont="1" applyFill="1" applyBorder="1" applyAlignment="1" applyProtection="1">
      <alignment vertical="center" wrapText="1"/>
      <protection locked="0"/>
    </xf>
    <xf numFmtId="176" fontId="8" fillId="3" borderId="2" xfId="0" applyNumberFormat="1" applyFont="1" applyFill="1" applyBorder="1" applyAlignment="1" applyProtection="1">
      <alignment vertical="center" shrinkToFit="1"/>
      <protection locked="0"/>
    </xf>
    <xf numFmtId="176" fontId="23" fillId="3" borderId="2" xfId="0" applyNumberFormat="1" applyFont="1" applyFill="1" applyBorder="1" applyAlignment="1" applyProtection="1">
      <alignment horizontal="center" vertical="center"/>
      <protection locked="0"/>
    </xf>
    <xf numFmtId="182" fontId="17" fillId="3" borderId="2" xfId="0" applyNumberFormat="1" applyFont="1" applyFill="1" applyBorder="1" applyAlignment="1" applyProtection="1">
      <alignment horizontal="center" vertical="center" shrinkToFit="1"/>
      <protection locked="0"/>
    </xf>
    <xf numFmtId="176" fontId="12" fillId="3" borderId="2" xfId="0" applyNumberFormat="1" applyFont="1" applyFill="1" applyBorder="1" applyAlignment="1" applyProtection="1">
      <alignment vertical="center" shrinkToFit="1"/>
      <protection locked="0"/>
    </xf>
    <xf numFmtId="14" fontId="2" fillId="3" borderId="2" xfId="0" applyNumberFormat="1" applyFont="1" applyFill="1" applyBorder="1" applyAlignment="1" applyProtection="1">
      <alignment vertical="center" shrinkToFit="1"/>
      <protection locked="0"/>
    </xf>
    <xf numFmtId="0" fontId="9" fillId="3" borderId="2" xfId="0" applyFont="1" applyFill="1" applyBorder="1" applyAlignment="1" applyProtection="1">
      <alignment vertical="center" wrapText="1" shrinkToFit="1"/>
      <protection locked="0"/>
    </xf>
    <xf numFmtId="176" fontId="10" fillId="3" borderId="2" xfId="0" applyNumberFormat="1" applyFont="1" applyFill="1" applyBorder="1" applyAlignment="1" applyProtection="1">
      <alignment vertical="center" shrinkToFit="1"/>
      <protection locked="0"/>
    </xf>
    <xf numFmtId="176" fontId="10" fillId="3" borderId="4" xfId="0" applyNumberFormat="1" applyFont="1" applyFill="1" applyBorder="1" applyAlignment="1" applyProtection="1">
      <alignment vertical="center" shrinkToFit="1"/>
      <protection locked="0"/>
    </xf>
    <xf numFmtId="0" fontId="17" fillId="3" borderId="2" xfId="0" applyFont="1" applyFill="1" applyBorder="1" applyAlignment="1" applyProtection="1">
      <alignment horizontal="left" vertical="center" wrapText="1"/>
      <protection locked="0"/>
    </xf>
    <xf numFmtId="14" fontId="8" fillId="3" borderId="2" xfId="0" applyNumberFormat="1" applyFont="1" applyFill="1" applyBorder="1" applyAlignment="1" applyProtection="1">
      <alignment vertical="center" shrinkToFit="1"/>
      <protection locked="0"/>
    </xf>
    <xf numFmtId="181" fontId="27" fillId="2" borderId="0" xfId="0" applyNumberFormat="1" applyFont="1" applyFill="1" applyAlignment="1">
      <alignment vertical="center" wrapText="1"/>
    </xf>
    <xf numFmtId="0" fontId="17" fillId="5" borderId="2" xfId="0" applyFont="1" applyFill="1" applyBorder="1" applyAlignment="1">
      <alignment vertical="center" shrinkToFit="1"/>
    </xf>
    <xf numFmtId="0" fontId="21" fillId="5" borderId="6" xfId="0" applyFont="1" applyFill="1" applyBorder="1" applyAlignment="1">
      <alignment vertical="center" wrapText="1"/>
    </xf>
    <xf numFmtId="14" fontId="17" fillId="5" borderId="5" xfId="0" applyNumberFormat="1" applyFont="1" applyFill="1" applyBorder="1" applyAlignment="1">
      <alignment vertical="center" shrinkToFit="1"/>
    </xf>
    <xf numFmtId="0" fontId="17" fillId="5" borderId="6" xfId="0" applyFont="1" applyFill="1" applyBorder="1" applyAlignment="1">
      <alignment vertical="center" shrinkToFit="1"/>
    </xf>
    <xf numFmtId="0" fontId="17" fillId="5" borderId="5" xfId="0" applyFont="1" applyFill="1" applyBorder="1" applyAlignment="1">
      <alignment vertical="center" shrinkToFit="1"/>
    </xf>
    <xf numFmtId="185" fontId="17" fillId="5" borderId="3" xfId="0" applyNumberFormat="1" applyFont="1" applyFill="1" applyBorder="1" applyAlignment="1">
      <alignment horizontal="right" vertical="center" shrinkToFit="1"/>
    </xf>
    <xf numFmtId="186" fontId="17" fillId="5" borderId="4" xfId="0" applyNumberFormat="1" applyFont="1" applyFill="1" applyBorder="1" applyAlignment="1">
      <alignment horizontal="right" vertical="center" shrinkToFit="1"/>
    </xf>
    <xf numFmtId="0" fontId="2" fillId="5" borderId="2" xfId="0" applyFont="1" applyFill="1" applyBorder="1" applyAlignment="1">
      <alignment vertical="center" shrinkToFit="1"/>
    </xf>
    <xf numFmtId="0" fontId="19" fillId="5" borderId="6" xfId="0" applyFont="1" applyFill="1" applyBorder="1" applyAlignment="1">
      <alignment vertical="center" wrapText="1"/>
    </xf>
    <xf numFmtId="14" fontId="9" fillId="5" borderId="5" xfId="0" applyNumberFormat="1" applyFont="1" applyFill="1" applyBorder="1" applyAlignment="1">
      <alignment vertical="center" shrinkToFit="1"/>
    </xf>
    <xf numFmtId="0" fontId="22" fillId="5" borderId="6" xfId="0" applyFont="1" applyFill="1" applyBorder="1" applyAlignment="1">
      <alignment vertical="center" wrapText="1"/>
    </xf>
    <xf numFmtId="0" fontId="9" fillId="5" borderId="6" xfId="0" applyFont="1" applyFill="1" applyBorder="1" applyAlignment="1">
      <alignment vertical="center" shrinkToFit="1"/>
    </xf>
    <xf numFmtId="0" fontId="9" fillId="5" borderId="5" xfId="0" applyFont="1" applyFill="1" applyBorder="1" applyAlignment="1">
      <alignment vertical="center" shrinkToFit="1"/>
    </xf>
    <xf numFmtId="0" fontId="9" fillId="5" borderId="27" xfId="0" applyFont="1" applyFill="1" applyBorder="1" applyAlignment="1">
      <alignment vertical="center" shrinkToFit="1"/>
    </xf>
    <xf numFmtId="187" fontId="17" fillId="5" borderId="2" xfId="0" applyNumberFormat="1"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183" fontId="28" fillId="0" borderId="19" xfId="0" applyNumberFormat="1" applyFont="1" applyBorder="1" applyAlignment="1">
      <alignment horizontal="center" vertical="center" wrapText="1" shrinkToFit="1"/>
    </xf>
    <xf numFmtId="183" fontId="28" fillId="0" borderId="20" xfId="0" applyNumberFormat="1" applyFont="1" applyBorder="1" applyAlignment="1">
      <alignment horizontal="center" vertical="center" wrapText="1" shrinkToFit="1"/>
    </xf>
    <xf numFmtId="0" fontId="17" fillId="3" borderId="11"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center" vertical="center" shrinkToFit="1"/>
      <protection locked="0"/>
    </xf>
    <xf numFmtId="0" fontId="17" fillId="3" borderId="18" xfId="0" applyFont="1" applyFill="1" applyBorder="1" applyAlignment="1" applyProtection="1">
      <alignment horizontal="center" vertical="center" shrinkToFit="1"/>
      <protection locked="0"/>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20" fillId="2" borderId="0" xfId="0" applyFont="1" applyFill="1" applyAlignment="1">
      <alignment horizontal="left" vertical="center"/>
    </xf>
    <xf numFmtId="0" fontId="8" fillId="3" borderId="23"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14" fontId="8" fillId="3" borderId="11" xfId="0" applyNumberFormat="1" applyFont="1" applyFill="1" applyBorder="1" applyAlignment="1" applyProtection="1">
      <alignment horizontal="center" vertical="center" shrinkToFit="1"/>
      <protection locked="0"/>
    </xf>
    <xf numFmtId="14" fontId="8" fillId="3" borderId="13" xfId="0" applyNumberFormat="1" applyFont="1" applyFill="1" applyBorder="1" applyAlignment="1" applyProtection="1">
      <alignment horizontal="center" vertical="center" shrinkToFit="1"/>
      <protection locked="0"/>
    </xf>
    <xf numFmtId="14" fontId="8" fillId="3" borderId="16" xfId="0" applyNumberFormat="1" applyFont="1" applyFill="1" applyBorder="1" applyAlignment="1" applyProtection="1">
      <alignment horizontal="center" vertical="center" shrinkToFit="1"/>
      <protection locked="0"/>
    </xf>
    <xf numFmtId="14" fontId="8" fillId="3" borderId="18" xfId="0" applyNumberFormat="1" applyFont="1" applyFill="1" applyBorder="1" applyAlignment="1" applyProtection="1">
      <alignment horizontal="center" vertical="center" shrinkToFit="1"/>
      <protection locked="0"/>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Alignment="1">
      <alignment horizontal="left" vertical="center" shrinkToFit="1"/>
    </xf>
    <xf numFmtId="0" fontId="17" fillId="0" borderId="28" xfId="0" applyFont="1" applyBorder="1" applyAlignment="1">
      <alignment horizontal="left" vertical="center" shrinkToFit="1"/>
    </xf>
    <xf numFmtId="0" fontId="17" fillId="0" borderId="6" xfId="0" applyFont="1" applyBorder="1" applyAlignment="1">
      <alignment horizontal="left" vertical="center" wrapText="1" shrinkToFit="1"/>
    </xf>
    <xf numFmtId="0" fontId="17" fillId="0" borderId="2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left" vertical="center" shrinkToFit="1"/>
    </xf>
    <xf numFmtId="0" fontId="2" fillId="0" borderId="28" xfId="0" applyFont="1" applyBorder="1" applyAlignment="1">
      <alignment horizontal="left" vertical="center" shrinkToFi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2" fillId="0" borderId="3" xfId="0" applyFont="1" applyBorder="1" applyAlignment="1">
      <alignment horizontal="center" vertical="center" shrinkToFit="1"/>
    </xf>
    <xf numFmtId="0" fontId="17" fillId="0" borderId="0" xfId="0" applyFont="1" applyAlignment="1">
      <alignment horizontal="left" vertical="center" wrapText="1"/>
    </xf>
    <xf numFmtId="0" fontId="17" fillId="3" borderId="2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179" fontId="8" fillId="0" borderId="6" xfId="0" applyNumberFormat="1" applyFont="1" applyBorder="1" applyAlignment="1">
      <alignment horizontal="right" vertical="center" shrinkToFit="1"/>
    </xf>
    <xf numFmtId="179" fontId="8" fillId="0" borderId="5" xfId="0" applyNumberFormat="1" applyFont="1" applyBorder="1" applyAlignment="1">
      <alignment horizontal="right" vertical="center" shrinkToFit="1"/>
    </xf>
    <xf numFmtId="179" fontId="8" fillId="3" borderId="6" xfId="0" applyNumberFormat="1" applyFont="1" applyFill="1" applyBorder="1" applyAlignment="1" applyProtection="1">
      <alignment horizontal="right" vertical="center" shrinkToFit="1"/>
      <protection locked="0"/>
    </xf>
    <xf numFmtId="179" fontId="8" fillId="3" borderId="5" xfId="0" applyNumberFormat="1" applyFont="1" applyFill="1" applyBorder="1" applyAlignment="1" applyProtection="1">
      <alignment horizontal="right"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2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2" xfId="0" applyFont="1" applyBorder="1" applyAlignment="1">
      <alignment horizontal="center" vertical="center" wrapText="1"/>
    </xf>
    <xf numFmtId="176" fontId="8" fillId="0" borderId="2" xfId="0" applyNumberFormat="1" applyFont="1" applyBorder="1" applyAlignment="1">
      <alignment horizontal="center" vertical="center" wrapText="1" shrinkToFit="1"/>
    </xf>
    <xf numFmtId="38" fontId="0" fillId="4" borderId="2" xfId="1" applyFont="1" applyFill="1" applyBorder="1" applyAlignment="1">
      <alignment horizontal="center" vertical="center" shrinkToFit="1"/>
    </xf>
    <xf numFmtId="38" fontId="0" fillId="4" borderId="6" xfId="1" applyFont="1" applyFill="1" applyBorder="1" applyAlignment="1">
      <alignment horizontal="center" vertical="center" shrinkToFit="1"/>
    </xf>
    <xf numFmtId="38" fontId="0" fillId="4" borderId="24" xfId="1" applyFont="1" applyFill="1" applyBorder="1" applyAlignment="1">
      <alignment horizontal="center" vertical="center" shrinkToFit="1"/>
    </xf>
    <xf numFmtId="38" fontId="0" fillId="4" borderId="5" xfId="1" applyFont="1" applyFill="1" applyBorder="1" applyAlignment="1">
      <alignment horizontal="center" vertical="center" shrinkToFit="1"/>
    </xf>
  </cellXfs>
  <cellStyles count="5">
    <cellStyle name="桁区切り" xfId="1" builtinId="6"/>
    <cellStyle name="桁区切り 2" xfId="4" xr:uid="{0E8C943F-E08F-4D76-ABF1-13A7D8C05301}"/>
    <cellStyle name="標準" xfId="0" builtinId="0"/>
    <cellStyle name="標準 2" xfId="2" xr:uid="{2077AC68-C3D9-48B0-A391-40A504DB4EBF}"/>
    <cellStyle name="標準 3" xfId="3" xr:uid="{EC7234C7-5E62-40DA-99C2-A6458D2179CA}"/>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9300</xdr:colOff>
      <xdr:row>17</xdr:row>
      <xdr:rowOff>250115</xdr:rowOff>
    </xdr:from>
    <xdr:to>
      <xdr:col>6</xdr:col>
      <xdr:colOff>558389</xdr:colOff>
      <xdr:row>17</xdr:row>
      <xdr:rowOff>250115</xdr:rowOff>
    </xdr:to>
    <xdr:cxnSp macro="">
      <xdr:nvCxnSpPr>
        <xdr:cNvPr id="3" name="直線矢印コネクタ 2">
          <a:extLst>
            <a:ext uri="{FF2B5EF4-FFF2-40B4-BE49-F238E27FC236}">
              <a16:creationId xmlns:a16="http://schemas.microsoft.com/office/drawing/2014/main" id="{37EFBA19-F591-AFA1-D1B9-A0A3C9CE5551}"/>
            </a:ext>
          </a:extLst>
        </xdr:cNvPr>
        <xdr:cNvCxnSpPr/>
      </xdr:nvCxnSpPr>
      <xdr:spPr>
        <a:xfrm>
          <a:off x="4682153" y="3567056"/>
          <a:ext cx="54908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813</xdr:colOff>
      <xdr:row>17</xdr:row>
      <xdr:rowOff>246530</xdr:rowOff>
    </xdr:from>
    <xdr:to>
      <xdr:col>11</xdr:col>
      <xdr:colOff>433152</xdr:colOff>
      <xdr:row>17</xdr:row>
      <xdr:rowOff>246530</xdr:rowOff>
    </xdr:to>
    <xdr:cxnSp macro="">
      <xdr:nvCxnSpPr>
        <xdr:cNvPr id="4" name="直線矢印コネクタ 3">
          <a:extLst>
            <a:ext uri="{FF2B5EF4-FFF2-40B4-BE49-F238E27FC236}">
              <a16:creationId xmlns:a16="http://schemas.microsoft.com/office/drawing/2014/main" id="{D4AA7BDE-5796-47E9-AEA9-465BBBB8D31F}"/>
            </a:ext>
          </a:extLst>
        </xdr:cNvPr>
        <xdr:cNvCxnSpPr/>
      </xdr:nvCxnSpPr>
      <xdr:spPr>
        <a:xfrm>
          <a:off x="8633184" y="3588444"/>
          <a:ext cx="53575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257735</xdr:rowOff>
    </xdr:from>
    <xdr:to>
      <xdr:col>6</xdr:col>
      <xdr:colOff>552899</xdr:colOff>
      <xdr:row>22</xdr:row>
      <xdr:rowOff>257735</xdr:rowOff>
    </xdr:to>
    <xdr:cxnSp macro="">
      <xdr:nvCxnSpPr>
        <xdr:cNvPr id="5" name="直線矢印コネクタ 4">
          <a:extLst>
            <a:ext uri="{FF2B5EF4-FFF2-40B4-BE49-F238E27FC236}">
              <a16:creationId xmlns:a16="http://schemas.microsoft.com/office/drawing/2014/main" id="{4CD6EC56-8ED9-4627-AFB9-4B5C8DECFFE2}"/>
            </a:ext>
          </a:extLst>
        </xdr:cNvPr>
        <xdr:cNvCxnSpPr/>
      </xdr:nvCxnSpPr>
      <xdr:spPr>
        <a:xfrm>
          <a:off x="4672853" y="5244353"/>
          <a:ext cx="5528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50539</xdr:colOff>
      <xdr:row>17</xdr:row>
      <xdr:rowOff>240815</xdr:rowOff>
    </xdr:from>
    <xdr:to>
      <xdr:col>4</xdr:col>
      <xdr:colOff>649941</xdr:colOff>
      <xdr:row>17</xdr:row>
      <xdr:rowOff>240815</xdr:rowOff>
    </xdr:to>
    <xdr:cxnSp macro="">
      <xdr:nvCxnSpPr>
        <xdr:cNvPr id="7" name="直線コネクタ 6">
          <a:extLst>
            <a:ext uri="{FF2B5EF4-FFF2-40B4-BE49-F238E27FC236}">
              <a16:creationId xmlns:a16="http://schemas.microsoft.com/office/drawing/2014/main" id="{9DA81155-106D-901D-2A1A-9E9A85D7B69B}"/>
            </a:ext>
          </a:extLst>
        </xdr:cNvPr>
        <xdr:cNvCxnSpPr/>
      </xdr:nvCxnSpPr>
      <xdr:spPr>
        <a:xfrm>
          <a:off x="2616686" y="3557756"/>
          <a:ext cx="59940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67236</xdr:colOff>
      <xdr:row>17</xdr:row>
      <xdr:rowOff>246529</xdr:rowOff>
    </xdr:from>
    <xdr:to>
      <xdr:col>8</xdr:col>
      <xdr:colOff>668543</xdr:colOff>
      <xdr:row>17</xdr:row>
      <xdr:rowOff>246529</xdr:rowOff>
    </xdr:to>
    <xdr:cxnSp macro="">
      <xdr:nvCxnSpPr>
        <xdr:cNvPr id="8" name="直線コネクタ 7">
          <a:extLst>
            <a:ext uri="{FF2B5EF4-FFF2-40B4-BE49-F238E27FC236}">
              <a16:creationId xmlns:a16="http://schemas.microsoft.com/office/drawing/2014/main" id="{99DFF414-8F98-4DF0-A070-1B19865372A4}"/>
            </a:ext>
          </a:extLst>
        </xdr:cNvPr>
        <xdr:cNvCxnSpPr/>
      </xdr:nvCxnSpPr>
      <xdr:spPr>
        <a:xfrm>
          <a:off x="6846795" y="3563470"/>
          <a:ext cx="60130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59615</xdr:colOff>
      <xdr:row>22</xdr:row>
      <xdr:rowOff>261545</xdr:rowOff>
    </xdr:from>
    <xdr:to>
      <xdr:col>4</xdr:col>
      <xdr:colOff>664732</xdr:colOff>
      <xdr:row>22</xdr:row>
      <xdr:rowOff>261545</xdr:rowOff>
    </xdr:to>
    <xdr:cxnSp macro="">
      <xdr:nvCxnSpPr>
        <xdr:cNvPr id="9" name="直線コネクタ 8">
          <a:extLst>
            <a:ext uri="{FF2B5EF4-FFF2-40B4-BE49-F238E27FC236}">
              <a16:creationId xmlns:a16="http://schemas.microsoft.com/office/drawing/2014/main" id="{084A5BFA-7263-4215-8BE6-6EB9572F245B}"/>
            </a:ext>
          </a:extLst>
        </xdr:cNvPr>
        <xdr:cNvCxnSpPr/>
      </xdr:nvCxnSpPr>
      <xdr:spPr>
        <a:xfrm>
          <a:off x="2625762" y="5248163"/>
          <a:ext cx="60511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15903</xdr:colOff>
      <xdr:row>7</xdr:row>
      <xdr:rowOff>15902</xdr:rowOff>
    </xdr:from>
    <xdr:to>
      <xdr:col>12</xdr:col>
      <xdr:colOff>930089</xdr:colOff>
      <xdr:row>7</xdr:row>
      <xdr:rowOff>246529</xdr:rowOff>
    </xdr:to>
    <xdr:sp macro="" textlink="">
      <xdr:nvSpPr>
        <xdr:cNvPr id="12" name="テキスト ボックス 11">
          <a:extLst>
            <a:ext uri="{FF2B5EF4-FFF2-40B4-BE49-F238E27FC236}">
              <a16:creationId xmlns:a16="http://schemas.microsoft.com/office/drawing/2014/main" id="{17E99AC4-3B45-1243-E87D-75B9980E4D6A}"/>
            </a:ext>
          </a:extLst>
        </xdr:cNvPr>
        <xdr:cNvSpPr txBox="1"/>
      </xdr:nvSpPr>
      <xdr:spPr>
        <a:xfrm>
          <a:off x="9989138" y="1864873"/>
          <a:ext cx="914186" cy="23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12</xdr:col>
      <xdr:colOff>554804</xdr:colOff>
      <xdr:row>2</xdr:row>
      <xdr:rowOff>31712</xdr:rowOff>
    </xdr:from>
    <xdr:to>
      <xdr:col>14</xdr:col>
      <xdr:colOff>97652</xdr:colOff>
      <xdr:row>2</xdr:row>
      <xdr:rowOff>655656</xdr:rowOff>
    </xdr:to>
    <xdr:sp macro="" textlink="">
      <xdr:nvSpPr>
        <xdr:cNvPr id="10" name="テキスト ボックス 9">
          <a:extLst>
            <a:ext uri="{FF2B5EF4-FFF2-40B4-BE49-F238E27FC236}">
              <a16:creationId xmlns:a16="http://schemas.microsoft.com/office/drawing/2014/main" id="{E2E5F562-229F-47C5-91D6-95A66530AE01}"/>
            </a:ext>
          </a:extLst>
        </xdr:cNvPr>
        <xdr:cNvSpPr txBox="1"/>
      </xdr:nvSpPr>
      <xdr:spPr>
        <a:xfrm>
          <a:off x="10528039" y="479947"/>
          <a:ext cx="1257348" cy="62394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総表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198344</xdr:colOff>
      <xdr:row>24</xdr:row>
      <xdr:rowOff>338418</xdr:rowOff>
    </xdr:from>
    <xdr:to>
      <xdr:col>17</xdr:col>
      <xdr:colOff>617444</xdr:colOff>
      <xdr:row>24</xdr:row>
      <xdr:rowOff>338418</xdr:rowOff>
    </xdr:to>
    <xdr:cxnSp macro="">
      <xdr:nvCxnSpPr>
        <xdr:cNvPr id="2" name="直線矢印コネクタ 1">
          <a:extLst>
            <a:ext uri="{FF2B5EF4-FFF2-40B4-BE49-F238E27FC236}">
              <a16:creationId xmlns:a16="http://schemas.microsoft.com/office/drawing/2014/main" id="{B94D4FE9-6365-4591-81E4-01AEB40F1082}"/>
            </a:ext>
          </a:extLst>
        </xdr:cNvPr>
        <xdr:cNvCxnSpPr/>
      </xdr:nvCxnSpPr>
      <xdr:spPr>
        <a:xfrm>
          <a:off x="13241991" y="690506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14</xdr:row>
      <xdr:rowOff>414618</xdr:rowOff>
    </xdr:from>
    <xdr:to>
      <xdr:col>17</xdr:col>
      <xdr:colOff>201705</xdr:colOff>
      <xdr:row>25</xdr:row>
      <xdr:rowOff>125171</xdr:rowOff>
    </xdr:to>
    <xdr:sp macro="" textlink="">
      <xdr:nvSpPr>
        <xdr:cNvPr id="16" name="右大かっこ 15">
          <a:extLst>
            <a:ext uri="{FF2B5EF4-FFF2-40B4-BE49-F238E27FC236}">
              <a16:creationId xmlns:a16="http://schemas.microsoft.com/office/drawing/2014/main" id="{41FFA1EE-1664-44FA-BDD2-AE5B6ACF1917}"/>
            </a:ext>
          </a:extLst>
        </xdr:cNvPr>
        <xdr:cNvSpPr/>
      </xdr:nvSpPr>
      <xdr:spPr>
        <a:xfrm>
          <a:off x="13043647" y="3328147"/>
          <a:ext cx="201705" cy="400240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129540</xdr:colOff>
      <xdr:row>20</xdr:row>
      <xdr:rowOff>355117</xdr:rowOff>
    </xdr:from>
    <xdr:to>
      <xdr:col>15</xdr:col>
      <xdr:colOff>548640</xdr:colOff>
      <xdr:row>20</xdr:row>
      <xdr:rowOff>355117</xdr:rowOff>
    </xdr:to>
    <xdr:cxnSp macro="">
      <xdr:nvCxnSpPr>
        <xdr:cNvPr id="21" name="直線矢印コネクタ 20">
          <a:extLst>
            <a:ext uri="{FF2B5EF4-FFF2-40B4-BE49-F238E27FC236}">
              <a16:creationId xmlns:a16="http://schemas.microsoft.com/office/drawing/2014/main" id="{ACBDDDD5-8249-446C-A4F4-B102F7005793}"/>
            </a:ext>
          </a:extLst>
        </xdr:cNvPr>
        <xdr:cNvCxnSpPr/>
      </xdr:nvCxnSpPr>
      <xdr:spPr>
        <a:xfrm>
          <a:off x="12164658" y="500555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359469</xdr:colOff>
      <xdr:row>12</xdr:row>
      <xdr:rowOff>626539</xdr:rowOff>
    </xdr:from>
    <xdr:to>
      <xdr:col>18</xdr:col>
      <xdr:colOff>668383</xdr:colOff>
      <xdr:row>14</xdr:row>
      <xdr:rowOff>290090</xdr:rowOff>
    </xdr:to>
    <xdr:sp macro="" textlink="">
      <xdr:nvSpPr>
        <xdr:cNvPr id="30" name="テキスト ボックス 29">
          <a:extLst>
            <a:ext uri="{FF2B5EF4-FFF2-40B4-BE49-F238E27FC236}">
              <a16:creationId xmlns:a16="http://schemas.microsoft.com/office/drawing/2014/main" id="{79A77022-BB0F-0545-876D-C16F3794AD1F}"/>
            </a:ext>
          </a:extLst>
        </xdr:cNvPr>
        <xdr:cNvSpPr txBox="1"/>
      </xdr:nvSpPr>
      <xdr:spPr>
        <a:xfrm>
          <a:off x="10496790" y="4436539"/>
          <a:ext cx="4554343" cy="94262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a:t>
          </a:r>
          <a:r>
            <a:rPr kumimoji="1" lang="en-US" altLang="ja-JP" sz="1400"/>
            <a:t>A</a:t>
          </a:r>
          <a:r>
            <a:rPr kumimoji="1" lang="ja-JP" altLang="en-US" sz="1400"/>
            <a:t>）には左記期間における賞与の支給回数を記載</a:t>
          </a:r>
          <a:endParaRPr kumimoji="1" lang="en-US" altLang="ja-JP" sz="1400"/>
        </a:p>
        <a:p>
          <a:pPr algn="l"/>
          <a:r>
            <a:rPr kumimoji="1" lang="ja-JP" altLang="en-US" sz="1400"/>
            <a:t>（</a:t>
          </a:r>
          <a:r>
            <a:rPr kumimoji="1" lang="en-US" altLang="ja-JP" sz="1400"/>
            <a:t>B</a:t>
          </a:r>
          <a:r>
            <a:rPr kumimoji="1" lang="ja-JP" altLang="en-US" sz="1400"/>
            <a:t>）には（</a:t>
          </a:r>
          <a:r>
            <a:rPr kumimoji="1" lang="en-US" altLang="ja-JP" sz="1400"/>
            <a:t>A</a:t>
          </a:r>
          <a:r>
            <a:rPr kumimoji="1" lang="ja-JP" altLang="en-US" sz="1400"/>
            <a:t>）を含む年間の賞与の支給回数を記載</a:t>
          </a:r>
        </a:p>
      </xdr:txBody>
    </xdr:sp>
    <xdr:clientData/>
  </xdr:twoCellAnchor>
  <xdr:twoCellAnchor>
    <xdr:from>
      <xdr:col>15</xdr:col>
      <xdr:colOff>140747</xdr:colOff>
      <xdr:row>15</xdr:row>
      <xdr:rowOff>400162</xdr:rowOff>
    </xdr:from>
    <xdr:to>
      <xdr:col>15</xdr:col>
      <xdr:colOff>559847</xdr:colOff>
      <xdr:row>15</xdr:row>
      <xdr:rowOff>400162</xdr:rowOff>
    </xdr:to>
    <xdr:cxnSp macro="">
      <xdr:nvCxnSpPr>
        <xdr:cNvPr id="31" name="直線矢印コネクタ 30">
          <a:extLst>
            <a:ext uri="{FF2B5EF4-FFF2-40B4-BE49-F238E27FC236}">
              <a16:creationId xmlns:a16="http://schemas.microsoft.com/office/drawing/2014/main" id="{8D476C66-30A0-4E36-A1E2-25DB8322D2F7}"/>
            </a:ext>
          </a:extLst>
        </xdr:cNvPr>
        <xdr:cNvCxnSpPr/>
      </xdr:nvCxnSpPr>
      <xdr:spPr>
        <a:xfrm>
          <a:off x="12175865" y="395242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65329</xdr:colOff>
      <xdr:row>10</xdr:row>
      <xdr:rowOff>171899</xdr:rowOff>
    </xdr:from>
    <xdr:to>
      <xdr:col>11</xdr:col>
      <xdr:colOff>0</xdr:colOff>
      <xdr:row>16</xdr:row>
      <xdr:rowOff>11206</xdr:rowOff>
    </xdr:to>
    <xdr:sp macro="" textlink="">
      <xdr:nvSpPr>
        <xdr:cNvPr id="32" name="右大かっこ 31">
          <a:extLst>
            <a:ext uri="{FF2B5EF4-FFF2-40B4-BE49-F238E27FC236}">
              <a16:creationId xmlns:a16="http://schemas.microsoft.com/office/drawing/2014/main" id="{2300DDC6-D5EA-4C5A-BF4C-F510E432B8E1}"/>
            </a:ext>
          </a:extLst>
        </xdr:cNvPr>
        <xdr:cNvSpPr/>
      </xdr:nvSpPr>
      <xdr:spPr>
        <a:xfrm>
          <a:off x="10072182" y="1583840"/>
          <a:ext cx="125171" cy="2640778"/>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15</xdr:row>
      <xdr:rowOff>237228</xdr:rowOff>
    </xdr:from>
    <xdr:to>
      <xdr:col>13</xdr:col>
      <xdr:colOff>201706</xdr:colOff>
      <xdr:row>15</xdr:row>
      <xdr:rowOff>237228</xdr:rowOff>
    </xdr:to>
    <xdr:cxnSp macro="">
      <xdr:nvCxnSpPr>
        <xdr:cNvPr id="33" name="直線矢印コネクタ 32">
          <a:extLst>
            <a:ext uri="{FF2B5EF4-FFF2-40B4-BE49-F238E27FC236}">
              <a16:creationId xmlns:a16="http://schemas.microsoft.com/office/drawing/2014/main" id="{66A63C3E-CB63-4FC1-8759-CE930B44F059}"/>
            </a:ext>
          </a:extLst>
        </xdr:cNvPr>
        <xdr:cNvCxnSpPr/>
      </xdr:nvCxnSpPr>
      <xdr:spPr>
        <a:xfrm>
          <a:off x="10197353" y="3285228"/>
          <a:ext cx="91888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21</xdr:row>
      <xdr:rowOff>355117</xdr:rowOff>
    </xdr:from>
    <xdr:to>
      <xdr:col>15</xdr:col>
      <xdr:colOff>548640</xdr:colOff>
      <xdr:row>21</xdr:row>
      <xdr:rowOff>355117</xdr:rowOff>
    </xdr:to>
    <xdr:cxnSp macro="">
      <xdr:nvCxnSpPr>
        <xdr:cNvPr id="40" name="直線矢印コネクタ 39">
          <a:extLst>
            <a:ext uri="{FF2B5EF4-FFF2-40B4-BE49-F238E27FC236}">
              <a16:creationId xmlns:a16="http://schemas.microsoft.com/office/drawing/2014/main" id="{4C921052-67F0-4D31-804A-C41A00A9E648}"/>
            </a:ext>
          </a:extLst>
        </xdr:cNvPr>
        <xdr:cNvCxnSpPr/>
      </xdr:nvCxnSpPr>
      <xdr:spPr>
        <a:xfrm>
          <a:off x="12164658" y="564429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22</xdr:row>
      <xdr:rowOff>355117</xdr:rowOff>
    </xdr:from>
    <xdr:to>
      <xdr:col>15</xdr:col>
      <xdr:colOff>548640</xdr:colOff>
      <xdr:row>22</xdr:row>
      <xdr:rowOff>355117</xdr:rowOff>
    </xdr:to>
    <xdr:cxnSp macro="">
      <xdr:nvCxnSpPr>
        <xdr:cNvPr id="42" name="直線矢印コネクタ 41">
          <a:extLst>
            <a:ext uri="{FF2B5EF4-FFF2-40B4-BE49-F238E27FC236}">
              <a16:creationId xmlns:a16="http://schemas.microsoft.com/office/drawing/2014/main" id="{B72D7327-0A39-4EAB-BF67-9304C9D153FF}"/>
            </a:ext>
          </a:extLst>
        </xdr:cNvPr>
        <xdr:cNvCxnSpPr/>
      </xdr:nvCxnSpPr>
      <xdr:spPr>
        <a:xfrm>
          <a:off x="12164658" y="628302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24</xdr:row>
      <xdr:rowOff>355117</xdr:rowOff>
    </xdr:from>
    <xdr:to>
      <xdr:col>15</xdr:col>
      <xdr:colOff>548640</xdr:colOff>
      <xdr:row>24</xdr:row>
      <xdr:rowOff>355117</xdr:rowOff>
    </xdr:to>
    <xdr:cxnSp macro="">
      <xdr:nvCxnSpPr>
        <xdr:cNvPr id="44" name="直線矢印コネクタ 43">
          <a:extLst>
            <a:ext uri="{FF2B5EF4-FFF2-40B4-BE49-F238E27FC236}">
              <a16:creationId xmlns:a16="http://schemas.microsoft.com/office/drawing/2014/main" id="{69EBBD28-CE9F-455F-A9DC-3C108C1EB765}"/>
            </a:ext>
          </a:extLst>
        </xdr:cNvPr>
        <xdr:cNvCxnSpPr/>
      </xdr:nvCxnSpPr>
      <xdr:spPr>
        <a:xfrm>
          <a:off x="12164658" y="692176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359773</xdr:colOff>
      <xdr:row>14</xdr:row>
      <xdr:rowOff>283847</xdr:rowOff>
    </xdr:from>
    <xdr:to>
      <xdr:col>12</xdr:col>
      <xdr:colOff>324394</xdr:colOff>
      <xdr:row>19</xdr:row>
      <xdr:rowOff>10070</xdr:rowOff>
    </xdr:to>
    <xdr:cxnSp macro="">
      <xdr:nvCxnSpPr>
        <xdr:cNvPr id="50" name="直線コネクタ 49">
          <a:extLst>
            <a:ext uri="{FF2B5EF4-FFF2-40B4-BE49-F238E27FC236}">
              <a16:creationId xmlns:a16="http://schemas.microsoft.com/office/drawing/2014/main" id="{CB4429C8-816C-0813-BB9B-64B27AB2113D}"/>
            </a:ext>
          </a:extLst>
        </xdr:cNvPr>
        <xdr:cNvCxnSpPr/>
      </xdr:nvCxnSpPr>
      <xdr:spPr>
        <a:xfrm flipH="1">
          <a:off x="12157166" y="5372918"/>
          <a:ext cx="332014" cy="1971402"/>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23</xdr:row>
      <xdr:rowOff>355117</xdr:rowOff>
    </xdr:from>
    <xdr:to>
      <xdr:col>15</xdr:col>
      <xdr:colOff>548640</xdr:colOff>
      <xdr:row>23</xdr:row>
      <xdr:rowOff>355117</xdr:rowOff>
    </xdr:to>
    <xdr:cxnSp macro="">
      <xdr:nvCxnSpPr>
        <xdr:cNvPr id="62" name="直線矢印コネクタ 61">
          <a:extLst>
            <a:ext uri="{FF2B5EF4-FFF2-40B4-BE49-F238E27FC236}">
              <a16:creationId xmlns:a16="http://schemas.microsoft.com/office/drawing/2014/main" id="{E8D7F88D-5915-4C2D-858C-12799D974479}"/>
            </a:ext>
          </a:extLst>
        </xdr:cNvPr>
        <xdr:cNvCxnSpPr/>
      </xdr:nvCxnSpPr>
      <xdr:spPr>
        <a:xfrm>
          <a:off x="12216493" y="906749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32658</xdr:colOff>
      <xdr:row>4</xdr:row>
      <xdr:rowOff>10886</xdr:rowOff>
    </xdr:from>
    <xdr:to>
      <xdr:col>18</xdr:col>
      <xdr:colOff>925286</xdr:colOff>
      <xdr:row>7</xdr:row>
      <xdr:rowOff>174171</xdr:rowOff>
    </xdr:to>
    <xdr:sp macro="" textlink="">
      <xdr:nvSpPr>
        <xdr:cNvPr id="3" name="テキスト ボックス 2">
          <a:extLst>
            <a:ext uri="{FF2B5EF4-FFF2-40B4-BE49-F238E27FC236}">
              <a16:creationId xmlns:a16="http://schemas.microsoft.com/office/drawing/2014/main" id="{D2B877D6-7E33-40FD-A41A-31D5F9636D7E}"/>
            </a:ext>
          </a:extLst>
        </xdr:cNvPr>
        <xdr:cNvSpPr txBox="1"/>
      </xdr:nvSpPr>
      <xdr:spPr>
        <a:xfrm>
          <a:off x="10123715" y="1186543"/>
          <a:ext cx="5116285" cy="96882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8</xdr:col>
      <xdr:colOff>435428</xdr:colOff>
      <xdr:row>4</xdr:row>
      <xdr:rowOff>217714</xdr:rowOff>
    </xdr:from>
    <xdr:to>
      <xdr:col>11</xdr:col>
      <xdr:colOff>23675</xdr:colOff>
      <xdr:row>7</xdr:row>
      <xdr:rowOff>261257</xdr:rowOff>
    </xdr:to>
    <xdr:cxnSp macro="">
      <xdr:nvCxnSpPr>
        <xdr:cNvPr id="4" name="直線コネクタ 3">
          <a:extLst>
            <a:ext uri="{FF2B5EF4-FFF2-40B4-BE49-F238E27FC236}">
              <a16:creationId xmlns:a16="http://schemas.microsoft.com/office/drawing/2014/main" id="{16FCD2DD-8F0D-4F39-9EAE-8B85045E12E9}"/>
            </a:ext>
          </a:extLst>
        </xdr:cNvPr>
        <xdr:cNvCxnSpPr/>
      </xdr:nvCxnSpPr>
      <xdr:spPr>
        <a:xfrm flipH="1">
          <a:off x="8414657" y="1393371"/>
          <a:ext cx="1700075" cy="849086"/>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1950447</xdr:colOff>
      <xdr:row>7</xdr:row>
      <xdr:rowOff>165191</xdr:rowOff>
    </xdr:from>
    <xdr:to>
      <xdr:col>9</xdr:col>
      <xdr:colOff>106952</xdr:colOff>
      <xdr:row>10</xdr:row>
      <xdr:rowOff>58239</xdr:rowOff>
    </xdr:to>
    <xdr:sp macro="" textlink="">
      <xdr:nvSpPr>
        <xdr:cNvPr id="8" name="楕円 7">
          <a:extLst>
            <a:ext uri="{FF2B5EF4-FFF2-40B4-BE49-F238E27FC236}">
              <a16:creationId xmlns:a16="http://schemas.microsoft.com/office/drawing/2014/main" id="{FD0697DD-4006-CC99-E714-F773E9ED189A}"/>
            </a:ext>
          </a:extLst>
        </xdr:cNvPr>
        <xdr:cNvSpPr/>
      </xdr:nvSpPr>
      <xdr:spPr>
        <a:xfrm>
          <a:off x="2753268" y="2111012"/>
          <a:ext cx="7831184" cy="831941"/>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176893</xdr:colOff>
      <xdr:row>0</xdr:row>
      <xdr:rowOff>54156</xdr:rowOff>
    </xdr:from>
    <xdr:to>
      <xdr:col>19</xdr:col>
      <xdr:colOff>94978</xdr:colOff>
      <xdr:row>3</xdr:row>
      <xdr:rowOff>132533</xdr:rowOff>
    </xdr:to>
    <xdr:sp macro="" textlink="">
      <xdr:nvSpPr>
        <xdr:cNvPr id="6" name="テキスト ボックス 5">
          <a:extLst>
            <a:ext uri="{FF2B5EF4-FFF2-40B4-BE49-F238E27FC236}">
              <a16:creationId xmlns:a16="http://schemas.microsoft.com/office/drawing/2014/main" id="{44B8DF65-4FC4-C3DF-C622-CA88D395986A}"/>
            </a:ext>
          </a:extLst>
        </xdr:cNvPr>
        <xdr:cNvSpPr txBox="1"/>
      </xdr:nvSpPr>
      <xdr:spPr>
        <a:xfrm>
          <a:off x="15879536" y="54156"/>
          <a:ext cx="1714228" cy="7451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給与</a:t>
          </a:r>
        </a:p>
      </xdr:txBody>
    </xdr:sp>
    <xdr:clientData/>
  </xdr:twoCellAnchor>
  <xdr:twoCellAnchor>
    <xdr:from>
      <xdr:col>9</xdr:col>
      <xdr:colOff>163285</xdr:colOff>
      <xdr:row>0</xdr:row>
      <xdr:rowOff>27214</xdr:rowOff>
    </xdr:from>
    <xdr:to>
      <xdr:col>17</xdr:col>
      <xdr:colOff>410390</xdr:colOff>
      <xdr:row>3</xdr:row>
      <xdr:rowOff>0</xdr:rowOff>
    </xdr:to>
    <xdr:sp macro="" textlink="">
      <xdr:nvSpPr>
        <xdr:cNvPr id="5" name="テキスト ボックス 4">
          <a:extLst>
            <a:ext uri="{FF2B5EF4-FFF2-40B4-BE49-F238E27FC236}">
              <a16:creationId xmlns:a16="http://schemas.microsoft.com/office/drawing/2014/main" id="{BF7D0356-1C20-43F6-A89A-927DD0D3C5DA}"/>
            </a:ext>
          </a:extLst>
        </xdr:cNvPr>
        <xdr:cNvSpPr txBox="1"/>
      </xdr:nvSpPr>
      <xdr:spPr>
        <a:xfrm>
          <a:off x="10640785" y="27214"/>
          <a:ext cx="5472248"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17</xdr:row>
      <xdr:rowOff>358927</xdr:rowOff>
    </xdr:from>
    <xdr:to>
      <xdr:col>13</xdr:col>
      <xdr:colOff>552450</xdr:colOff>
      <xdr:row>17</xdr:row>
      <xdr:rowOff>358927</xdr:rowOff>
    </xdr:to>
    <xdr:cxnSp macro="">
      <xdr:nvCxnSpPr>
        <xdr:cNvPr id="32" name="直線矢印コネクタ 31">
          <a:extLst>
            <a:ext uri="{FF2B5EF4-FFF2-40B4-BE49-F238E27FC236}">
              <a16:creationId xmlns:a16="http://schemas.microsoft.com/office/drawing/2014/main" id="{275E7F33-BB47-4830-B1F5-A4A850EE0CDC}"/>
            </a:ext>
          </a:extLst>
        </xdr:cNvPr>
        <xdr:cNvCxnSpPr/>
      </xdr:nvCxnSpPr>
      <xdr:spPr>
        <a:xfrm>
          <a:off x="12216493" y="1264617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40822</xdr:colOff>
      <xdr:row>9</xdr:row>
      <xdr:rowOff>285749</xdr:rowOff>
    </xdr:from>
    <xdr:to>
      <xdr:col>10</xdr:col>
      <xdr:colOff>163286</xdr:colOff>
      <xdr:row>17</xdr:row>
      <xdr:rowOff>639535</xdr:rowOff>
    </xdr:to>
    <xdr:sp macro="" textlink="">
      <xdr:nvSpPr>
        <xdr:cNvPr id="37" name="右大かっこ 36">
          <a:extLst>
            <a:ext uri="{FF2B5EF4-FFF2-40B4-BE49-F238E27FC236}">
              <a16:creationId xmlns:a16="http://schemas.microsoft.com/office/drawing/2014/main" id="{8F74FDAD-251C-48F0-B376-A569896D5B15}"/>
            </a:ext>
          </a:extLst>
        </xdr:cNvPr>
        <xdr:cNvSpPr/>
      </xdr:nvSpPr>
      <xdr:spPr>
        <a:xfrm>
          <a:off x="9987643" y="3837213"/>
          <a:ext cx="122464" cy="3197679"/>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170906</xdr:colOff>
      <xdr:row>17</xdr:row>
      <xdr:rowOff>287928</xdr:rowOff>
    </xdr:from>
    <xdr:to>
      <xdr:col>11</xdr:col>
      <xdr:colOff>559798</xdr:colOff>
      <xdr:row>17</xdr:row>
      <xdr:rowOff>287928</xdr:rowOff>
    </xdr:to>
    <xdr:cxnSp macro="">
      <xdr:nvCxnSpPr>
        <xdr:cNvPr id="38" name="直線矢印コネクタ 37">
          <a:extLst>
            <a:ext uri="{FF2B5EF4-FFF2-40B4-BE49-F238E27FC236}">
              <a16:creationId xmlns:a16="http://schemas.microsoft.com/office/drawing/2014/main" id="{EC4FE176-B6ED-4C47-9BFA-9148CDC7A3AC}"/>
            </a:ext>
          </a:extLst>
        </xdr:cNvPr>
        <xdr:cNvCxnSpPr/>
      </xdr:nvCxnSpPr>
      <xdr:spPr>
        <a:xfrm>
          <a:off x="10117727" y="6683285"/>
          <a:ext cx="633821"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814218</xdr:colOff>
      <xdr:row>0</xdr:row>
      <xdr:rowOff>56030</xdr:rowOff>
    </xdr:from>
    <xdr:to>
      <xdr:col>15</xdr:col>
      <xdr:colOff>66929</xdr:colOff>
      <xdr:row>0</xdr:row>
      <xdr:rowOff>824017</xdr:rowOff>
    </xdr:to>
    <xdr:sp macro="" textlink="">
      <xdr:nvSpPr>
        <xdr:cNvPr id="2" name="テキスト ボックス 1">
          <a:extLst>
            <a:ext uri="{FF2B5EF4-FFF2-40B4-BE49-F238E27FC236}">
              <a16:creationId xmlns:a16="http://schemas.microsoft.com/office/drawing/2014/main" id="{E948C583-248F-4DDE-AC9F-B2A60A654996}"/>
            </a:ext>
          </a:extLst>
        </xdr:cNvPr>
        <xdr:cNvSpPr txBox="1"/>
      </xdr:nvSpPr>
      <xdr:spPr>
        <a:xfrm>
          <a:off x="11672718" y="56030"/>
          <a:ext cx="1852476" cy="76798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公的年金等</a:t>
          </a:r>
        </a:p>
      </xdr:txBody>
    </xdr:sp>
    <xdr:clientData/>
  </xdr:twoCellAnchor>
  <xdr:twoCellAnchor>
    <xdr:from>
      <xdr:col>2</xdr:col>
      <xdr:colOff>1948542</xdr:colOff>
      <xdr:row>7</xdr:row>
      <xdr:rowOff>163286</xdr:rowOff>
    </xdr:from>
    <xdr:to>
      <xdr:col>9</xdr:col>
      <xdr:colOff>108857</xdr:colOff>
      <xdr:row>10</xdr:row>
      <xdr:rowOff>54429</xdr:rowOff>
    </xdr:to>
    <xdr:sp macro="" textlink="">
      <xdr:nvSpPr>
        <xdr:cNvPr id="3" name="楕円 2">
          <a:extLst>
            <a:ext uri="{FF2B5EF4-FFF2-40B4-BE49-F238E27FC236}">
              <a16:creationId xmlns:a16="http://schemas.microsoft.com/office/drawing/2014/main" id="{3037110B-3A15-4EDC-8E41-80A1917A5E19}"/>
            </a:ext>
          </a:extLst>
        </xdr:cNvPr>
        <xdr:cNvSpPr/>
      </xdr:nvSpPr>
      <xdr:spPr>
        <a:xfrm>
          <a:off x="2750547" y="2127341"/>
          <a:ext cx="7795805" cy="826498"/>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57583</xdr:colOff>
      <xdr:row>6</xdr:row>
      <xdr:rowOff>65328</xdr:rowOff>
    </xdr:from>
    <xdr:to>
      <xdr:col>14</xdr:col>
      <xdr:colOff>1045957</xdr:colOff>
      <xdr:row>9</xdr:row>
      <xdr:rowOff>205515</xdr:rowOff>
    </xdr:to>
    <xdr:sp macro="" textlink="">
      <xdr:nvSpPr>
        <xdr:cNvPr id="4" name="テキスト ボックス 3">
          <a:extLst>
            <a:ext uri="{FF2B5EF4-FFF2-40B4-BE49-F238E27FC236}">
              <a16:creationId xmlns:a16="http://schemas.microsoft.com/office/drawing/2014/main" id="{8F3BB9A5-1870-4761-B96B-06ED2CBD6F1A}"/>
            </a:ext>
          </a:extLst>
        </xdr:cNvPr>
        <xdr:cNvSpPr txBox="1"/>
      </xdr:nvSpPr>
      <xdr:spPr>
        <a:xfrm>
          <a:off x="9997201" y="2743534"/>
          <a:ext cx="3666580" cy="113751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a:t>
          </a:r>
          <a:endParaRPr kumimoji="1" lang="en-US" altLang="ja-JP" sz="1400"/>
        </a:p>
        <a:p>
          <a:pPr algn="l"/>
          <a:r>
            <a:rPr kumimoji="1" lang="ja-JP" altLang="en-US" sz="1400"/>
            <a:t>３列目までを、６か月分提出する場合は</a:t>
          </a:r>
          <a:endParaRPr kumimoji="1" lang="en-US" altLang="ja-JP" sz="1400"/>
        </a:p>
        <a:p>
          <a:pPr algn="l"/>
          <a:r>
            <a:rPr kumimoji="1" lang="ja-JP" altLang="en-US" sz="1400"/>
            <a:t>６列目までを記載してください。</a:t>
          </a:r>
        </a:p>
      </xdr:txBody>
    </xdr:sp>
    <xdr:clientData/>
  </xdr:twoCellAnchor>
  <xdr:twoCellAnchor>
    <xdr:from>
      <xdr:col>8</xdr:col>
      <xdr:colOff>806823</xdr:colOff>
      <xdr:row>6</xdr:row>
      <xdr:rowOff>322696</xdr:rowOff>
    </xdr:from>
    <xdr:to>
      <xdr:col>10</xdr:col>
      <xdr:colOff>37170</xdr:colOff>
      <xdr:row>8</xdr:row>
      <xdr:rowOff>56030</xdr:rowOff>
    </xdr:to>
    <xdr:cxnSp macro="">
      <xdr:nvCxnSpPr>
        <xdr:cNvPr id="5" name="直線コネクタ 4">
          <a:extLst>
            <a:ext uri="{FF2B5EF4-FFF2-40B4-BE49-F238E27FC236}">
              <a16:creationId xmlns:a16="http://schemas.microsoft.com/office/drawing/2014/main" id="{E449C31A-FDAF-4CB1-B40A-5A3EA6B638C0}"/>
            </a:ext>
          </a:extLst>
        </xdr:cNvPr>
        <xdr:cNvCxnSpPr/>
      </xdr:nvCxnSpPr>
      <xdr:spPr>
        <a:xfrm flipH="1">
          <a:off x="8819029" y="3000902"/>
          <a:ext cx="1157759" cy="439304"/>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149486</xdr:colOff>
      <xdr:row>0</xdr:row>
      <xdr:rowOff>569595</xdr:rowOff>
    </xdr:from>
    <xdr:to>
      <xdr:col>11</xdr:col>
      <xdr:colOff>554770</xdr:colOff>
      <xdr:row>2</xdr:row>
      <xdr:rowOff>155778</xdr:rowOff>
    </xdr:to>
    <xdr:sp macro="" textlink="">
      <xdr:nvSpPr>
        <xdr:cNvPr id="7" name="テキスト ボックス 6">
          <a:extLst>
            <a:ext uri="{FF2B5EF4-FFF2-40B4-BE49-F238E27FC236}">
              <a16:creationId xmlns:a16="http://schemas.microsoft.com/office/drawing/2014/main" id="{641C3B64-8A9B-4DAE-97D3-3E7C8A309700}"/>
            </a:ext>
          </a:extLst>
        </xdr:cNvPr>
        <xdr:cNvSpPr txBox="1"/>
      </xdr:nvSpPr>
      <xdr:spPr>
        <a:xfrm>
          <a:off x="5270574" y="569595"/>
          <a:ext cx="5470343"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151039</xdr:colOff>
      <xdr:row>11</xdr:row>
      <xdr:rowOff>326299</xdr:rowOff>
    </xdr:from>
    <xdr:to>
      <xdr:col>10</xdr:col>
      <xdr:colOff>570139</xdr:colOff>
      <xdr:row>11</xdr:row>
      <xdr:rowOff>326299</xdr:rowOff>
    </xdr:to>
    <xdr:cxnSp macro="">
      <xdr:nvCxnSpPr>
        <xdr:cNvPr id="8" name="直線矢印コネクタ 7">
          <a:extLst>
            <a:ext uri="{FF2B5EF4-FFF2-40B4-BE49-F238E27FC236}">
              <a16:creationId xmlns:a16="http://schemas.microsoft.com/office/drawing/2014/main" id="{7B4087B0-B41F-4E36-AB64-AA0121899DF9}"/>
            </a:ext>
          </a:extLst>
        </xdr:cNvPr>
        <xdr:cNvCxnSpPr/>
      </xdr:nvCxnSpPr>
      <xdr:spPr>
        <a:xfrm>
          <a:off x="10097860" y="349676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136071</xdr:colOff>
      <xdr:row>12</xdr:row>
      <xdr:rowOff>285750</xdr:rowOff>
    </xdr:from>
    <xdr:to>
      <xdr:col>10</xdr:col>
      <xdr:colOff>555171</xdr:colOff>
      <xdr:row>12</xdr:row>
      <xdr:rowOff>285750</xdr:rowOff>
    </xdr:to>
    <xdr:cxnSp macro="">
      <xdr:nvCxnSpPr>
        <xdr:cNvPr id="47" name="直線矢印コネクタ 46">
          <a:extLst>
            <a:ext uri="{FF2B5EF4-FFF2-40B4-BE49-F238E27FC236}">
              <a16:creationId xmlns:a16="http://schemas.microsoft.com/office/drawing/2014/main" id="{D90F6856-37C3-4876-8E23-7376FC32DB59}"/>
            </a:ext>
          </a:extLst>
        </xdr:cNvPr>
        <xdr:cNvCxnSpPr/>
      </xdr:nvCxnSpPr>
      <xdr:spPr>
        <a:xfrm>
          <a:off x="10082892" y="4000500"/>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13</xdr:row>
      <xdr:rowOff>330109</xdr:rowOff>
    </xdr:from>
    <xdr:to>
      <xdr:col>10</xdr:col>
      <xdr:colOff>570139</xdr:colOff>
      <xdr:row>13</xdr:row>
      <xdr:rowOff>330109</xdr:rowOff>
    </xdr:to>
    <xdr:cxnSp macro="">
      <xdr:nvCxnSpPr>
        <xdr:cNvPr id="48" name="直線矢印コネクタ 47">
          <a:extLst>
            <a:ext uri="{FF2B5EF4-FFF2-40B4-BE49-F238E27FC236}">
              <a16:creationId xmlns:a16="http://schemas.microsoft.com/office/drawing/2014/main" id="{4E3817CE-FF92-4BA2-AF94-65CE1AD50C09}"/>
            </a:ext>
          </a:extLst>
        </xdr:cNvPr>
        <xdr:cNvCxnSpPr/>
      </xdr:nvCxnSpPr>
      <xdr:spPr>
        <a:xfrm>
          <a:off x="10097860" y="458914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14</xdr:row>
      <xdr:rowOff>281940</xdr:rowOff>
    </xdr:from>
    <xdr:to>
      <xdr:col>10</xdr:col>
      <xdr:colOff>551361</xdr:colOff>
      <xdr:row>14</xdr:row>
      <xdr:rowOff>281940</xdr:rowOff>
    </xdr:to>
    <xdr:cxnSp macro="">
      <xdr:nvCxnSpPr>
        <xdr:cNvPr id="50" name="直線矢印コネクタ 49">
          <a:extLst>
            <a:ext uri="{FF2B5EF4-FFF2-40B4-BE49-F238E27FC236}">
              <a16:creationId xmlns:a16="http://schemas.microsoft.com/office/drawing/2014/main" id="{95BD0BBC-6527-4F42-89F6-907A87D41366}"/>
            </a:ext>
          </a:extLst>
        </xdr:cNvPr>
        <xdr:cNvCxnSpPr/>
      </xdr:nvCxnSpPr>
      <xdr:spPr>
        <a:xfrm>
          <a:off x="10079082" y="508526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15</xdr:row>
      <xdr:rowOff>330109</xdr:rowOff>
    </xdr:from>
    <xdr:to>
      <xdr:col>10</xdr:col>
      <xdr:colOff>570139</xdr:colOff>
      <xdr:row>15</xdr:row>
      <xdr:rowOff>330109</xdr:rowOff>
    </xdr:to>
    <xdr:cxnSp macro="">
      <xdr:nvCxnSpPr>
        <xdr:cNvPr id="56" name="直線矢印コネクタ 55">
          <a:extLst>
            <a:ext uri="{FF2B5EF4-FFF2-40B4-BE49-F238E27FC236}">
              <a16:creationId xmlns:a16="http://schemas.microsoft.com/office/drawing/2014/main" id="{EA7E3657-9B60-4215-BE9F-3B352DD4C5F4}"/>
            </a:ext>
          </a:extLst>
        </xdr:cNvPr>
        <xdr:cNvCxnSpPr/>
      </xdr:nvCxnSpPr>
      <xdr:spPr>
        <a:xfrm>
          <a:off x="10097860" y="567771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17</xdr:row>
      <xdr:rowOff>281940</xdr:rowOff>
    </xdr:from>
    <xdr:to>
      <xdr:col>10</xdr:col>
      <xdr:colOff>551361</xdr:colOff>
      <xdr:row>17</xdr:row>
      <xdr:rowOff>281940</xdr:rowOff>
    </xdr:to>
    <xdr:cxnSp macro="">
      <xdr:nvCxnSpPr>
        <xdr:cNvPr id="58" name="直線矢印コネクタ 57">
          <a:extLst>
            <a:ext uri="{FF2B5EF4-FFF2-40B4-BE49-F238E27FC236}">
              <a16:creationId xmlns:a16="http://schemas.microsoft.com/office/drawing/2014/main" id="{92BCC402-5554-4320-855A-5F92280DA312}"/>
            </a:ext>
          </a:extLst>
        </xdr:cNvPr>
        <xdr:cNvCxnSpPr/>
      </xdr:nvCxnSpPr>
      <xdr:spPr>
        <a:xfrm>
          <a:off x="10079082" y="651401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18</xdr:row>
      <xdr:rowOff>281940</xdr:rowOff>
    </xdr:from>
    <xdr:to>
      <xdr:col>10</xdr:col>
      <xdr:colOff>551361</xdr:colOff>
      <xdr:row>18</xdr:row>
      <xdr:rowOff>281940</xdr:rowOff>
    </xdr:to>
    <xdr:cxnSp macro="">
      <xdr:nvCxnSpPr>
        <xdr:cNvPr id="62" name="直線矢印コネクタ 61">
          <a:extLst>
            <a:ext uri="{FF2B5EF4-FFF2-40B4-BE49-F238E27FC236}">
              <a16:creationId xmlns:a16="http://schemas.microsoft.com/office/drawing/2014/main" id="{DDC12D95-0576-4BE4-873D-83153583012F}"/>
            </a:ext>
          </a:extLst>
        </xdr:cNvPr>
        <xdr:cNvCxnSpPr/>
      </xdr:nvCxnSpPr>
      <xdr:spPr>
        <a:xfrm>
          <a:off x="10079082" y="760258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219075</xdr:colOff>
      <xdr:row>20</xdr:row>
      <xdr:rowOff>316502</xdr:rowOff>
    </xdr:from>
    <xdr:to>
      <xdr:col>12</xdr:col>
      <xdr:colOff>638175</xdr:colOff>
      <xdr:row>20</xdr:row>
      <xdr:rowOff>316502</xdr:rowOff>
    </xdr:to>
    <xdr:cxnSp macro="">
      <xdr:nvCxnSpPr>
        <xdr:cNvPr id="69" name="直線矢印コネクタ 68">
          <a:extLst>
            <a:ext uri="{FF2B5EF4-FFF2-40B4-BE49-F238E27FC236}">
              <a16:creationId xmlns:a16="http://schemas.microsoft.com/office/drawing/2014/main" id="{8F13081D-E065-44F6-BFB9-3AE4B76337CC}"/>
            </a:ext>
          </a:extLst>
        </xdr:cNvPr>
        <xdr:cNvCxnSpPr/>
      </xdr:nvCxnSpPr>
      <xdr:spPr>
        <a:xfrm>
          <a:off x="11796849" y="1453977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20</xdr:row>
      <xdr:rowOff>281940</xdr:rowOff>
    </xdr:from>
    <xdr:to>
      <xdr:col>10</xdr:col>
      <xdr:colOff>551361</xdr:colOff>
      <xdr:row>20</xdr:row>
      <xdr:rowOff>281940</xdr:rowOff>
    </xdr:to>
    <xdr:cxnSp macro="">
      <xdr:nvCxnSpPr>
        <xdr:cNvPr id="70" name="直線矢印コネクタ 69">
          <a:extLst>
            <a:ext uri="{FF2B5EF4-FFF2-40B4-BE49-F238E27FC236}">
              <a16:creationId xmlns:a16="http://schemas.microsoft.com/office/drawing/2014/main" id="{2C9BA346-B5C2-46A2-A63D-1151BEA1C688}"/>
            </a:ext>
          </a:extLst>
        </xdr:cNvPr>
        <xdr:cNvCxnSpPr/>
      </xdr:nvCxnSpPr>
      <xdr:spPr>
        <a:xfrm>
          <a:off x="10079082" y="869115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31023</xdr:colOff>
      <xdr:row>10</xdr:row>
      <xdr:rowOff>68037</xdr:rowOff>
    </xdr:from>
    <xdr:to>
      <xdr:col>12</xdr:col>
      <xdr:colOff>204107</xdr:colOff>
      <xdr:row>21</xdr:row>
      <xdr:rowOff>50347</xdr:rowOff>
    </xdr:to>
    <xdr:sp macro="" textlink="">
      <xdr:nvSpPr>
        <xdr:cNvPr id="71" name="右大かっこ 70">
          <a:extLst>
            <a:ext uri="{FF2B5EF4-FFF2-40B4-BE49-F238E27FC236}">
              <a16:creationId xmlns:a16="http://schemas.microsoft.com/office/drawing/2014/main" id="{8FF31868-D359-4B35-8FFE-9B1C6DC331EA}"/>
            </a:ext>
          </a:extLst>
        </xdr:cNvPr>
        <xdr:cNvSpPr/>
      </xdr:nvSpPr>
      <xdr:spPr>
        <a:xfrm>
          <a:off x="11610702" y="2952751"/>
          <a:ext cx="173084" cy="605109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132261</xdr:colOff>
      <xdr:row>19</xdr:row>
      <xdr:rowOff>281940</xdr:rowOff>
    </xdr:from>
    <xdr:to>
      <xdr:col>10</xdr:col>
      <xdr:colOff>551361</xdr:colOff>
      <xdr:row>19</xdr:row>
      <xdr:rowOff>281940</xdr:rowOff>
    </xdr:to>
    <xdr:cxnSp macro="">
      <xdr:nvCxnSpPr>
        <xdr:cNvPr id="18" name="直線矢印コネクタ 17">
          <a:extLst>
            <a:ext uri="{FF2B5EF4-FFF2-40B4-BE49-F238E27FC236}">
              <a16:creationId xmlns:a16="http://schemas.microsoft.com/office/drawing/2014/main" id="{3F4979BB-06BC-4EFF-8C1A-487FB9234099}"/>
            </a:ext>
          </a:extLst>
        </xdr:cNvPr>
        <xdr:cNvCxnSpPr/>
      </xdr:nvCxnSpPr>
      <xdr:spPr>
        <a:xfrm>
          <a:off x="10079082" y="814686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123551</xdr:colOff>
      <xdr:row>4</xdr:row>
      <xdr:rowOff>28849</xdr:rowOff>
    </xdr:from>
    <xdr:to>
      <xdr:col>14</xdr:col>
      <xdr:colOff>54426</xdr:colOff>
      <xdr:row>7</xdr:row>
      <xdr:rowOff>13609</xdr:rowOff>
    </xdr:to>
    <xdr:sp macro="" textlink="">
      <xdr:nvSpPr>
        <xdr:cNvPr id="2" name="テキスト ボックス 1">
          <a:extLst>
            <a:ext uri="{FF2B5EF4-FFF2-40B4-BE49-F238E27FC236}">
              <a16:creationId xmlns:a16="http://schemas.microsoft.com/office/drawing/2014/main" id="{558836BF-D246-470A-AB06-68CADDC650C0}"/>
            </a:ext>
          </a:extLst>
        </xdr:cNvPr>
        <xdr:cNvSpPr txBox="1"/>
      </xdr:nvSpPr>
      <xdr:spPr>
        <a:xfrm>
          <a:off x="8138158" y="1185456"/>
          <a:ext cx="5128804" cy="77397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7</xdr:col>
      <xdr:colOff>512988</xdr:colOff>
      <xdr:row>4</xdr:row>
      <xdr:rowOff>415836</xdr:rowOff>
    </xdr:from>
    <xdr:to>
      <xdr:col>8</xdr:col>
      <xdr:colOff>123551</xdr:colOff>
      <xdr:row>7</xdr:row>
      <xdr:rowOff>208190</xdr:rowOff>
    </xdr:to>
    <xdr:cxnSp macro="">
      <xdr:nvCxnSpPr>
        <xdr:cNvPr id="3" name="直線コネクタ 2">
          <a:extLst>
            <a:ext uri="{FF2B5EF4-FFF2-40B4-BE49-F238E27FC236}">
              <a16:creationId xmlns:a16="http://schemas.microsoft.com/office/drawing/2014/main" id="{BB3DB4E1-A4B3-4C5B-BAE3-16607D17E6B5}"/>
            </a:ext>
          </a:extLst>
        </xdr:cNvPr>
        <xdr:cNvCxnSpPr>
          <a:stCxn id="2" idx="1"/>
        </xdr:cNvCxnSpPr>
      </xdr:nvCxnSpPr>
      <xdr:spPr>
        <a:xfrm flipH="1">
          <a:off x="7561488" y="1572443"/>
          <a:ext cx="576670" cy="581568"/>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2002971</xdr:colOff>
      <xdr:row>7</xdr:row>
      <xdr:rowOff>185057</xdr:rowOff>
    </xdr:from>
    <xdr:to>
      <xdr:col>9</xdr:col>
      <xdr:colOff>163286</xdr:colOff>
      <xdr:row>10</xdr:row>
      <xdr:rowOff>76200</xdr:rowOff>
    </xdr:to>
    <xdr:sp macro="" textlink="">
      <xdr:nvSpPr>
        <xdr:cNvPr id="5" name="楕円 4">
          <a:extLst>
            <a:ext uri="{FF2B5EF4-FFF2-40B4-BE49-F238E27FC236}">
              <a16:creationId xmlns:a16="http://schemas.microsoft.com/office/drawing/2014/main" id="{5AAA366A-725F-4AC4-884A-B2EFD5DB05D2}"/>
            </a:ext>
          </a:extLst>
        </xdr:cNvPr>
        <xdr:cNvSpPr/>
      </xdr:nvSpPr>
      <xdr:spPr>
        <a:xfrm>
          <a:off x="2819400" y="2166257"/>
          <a:ext cx="6281057" cy="805543"/>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839833</xdr:colOff>
      <xdr:row>0</xdr:row>
      <xdr:rowOff>29118</xdr:rowOff>
    </xdr:from>
    <xdr:to>
      <xdr:col>14</xdr:col>
      <xdr:colOff>93344</xdr:colOff>
      <xdr:row>3</xdr:row>
      <xdr:rowOff>128450</xdr:rowOff>
    </xdr:to>
    <xdr:sp macro="" textlink="">
      <xdr:nvSpPr>
        <xdr:cNvPr id="4" name="テキスト ボックス 3">
          <a:extLst>
            <a:ext uri="{FF2B5EF4-FFF2-40B4-BE49-F238E27FC236}">
              <a16:creationId xmlns:a16="http://schemas.microsoft.com/office/drawing/2014/main" id="{6B075892-6575-472C-97D5-0A0EA06B2D52}"/>
            </a:ext>
          </a:extLst>
        </xdr:cNvPr>
        <xdr:cNvSpPr txBox="1"/>
      </xdr:nvSpPr>
      <xdr:spPr>
        <a:xfrm>
          <a:off x="11453404" y="29118"/>
          <a:ext cx="1852476" cy="76608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その他</a:t>
          </a:r>
        </a:p>
      </xdr:txBody>
    </xdr:sp>
    <xdr:clientData/>
  </xdr:twoCellAnchor>
  <xdr:twoCellAnchor>
    <xdr:from>
      <xdr:col>5</xdr:col>
      <xdr:colOff>102870</xdr:colOff>
      <xdr:row>0</xdr:row>
      <xdr:rowOff>173355</xdr:rowOff>
    </xdr:from>
    <xdr:to>
      <xdr:col>11</xdr:col>
      <xdr:colOff>92528</xdr:colOff>
      <xdr:row>3</xdr:row>
      <xdr:rowOff>140426</xdr:rowOff>
    </xdr:to>
    <xdr:sp macro="" textlink="">
      <xdr:nvSpPr>
        <xdr:cNvPr id="7" name="テキスト ボックス 6">
          <a:extLst>
            <a:ext uri="{FF2B5EF4-FFF2-40B4-BE49-F238E27FC236}">
              <a16:creationId xmlns:a16="http://schemas.microsoft.com/office/drawing/2014/main" id="{57AF0658-1C5C-4AE2-9AEE-31E13994693E}"/>
            </a:ext>
          </a:extLst>
        </xdr:cNvPr>
        <xdr:cNvSpPr txBox="1"/>
      </xdr:nvSpPr>
      <xdr:spPr>
        <a:xfrm>
          <a:off x="5208270" y="173355"/>
          <a:ext cx="5466533" cy="63382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122464</xdr:colOff>
      <xdr:row>13</xdr:row>
      <xdr:rowOff>101238</xdr:rowOff>
    </xdr:from>
    <xdr:to>
      <xdr:col>14</xdr:col>
      <xdr:colOff>15511</xdr:colOff>
      <xdr:row>19</xdr:row>
      <xdr:rowOff>0</xdr:rowOff>
    </xdr:to>
    <xdr:sp macro="" textlink="">
      <xdr:nvSpPr>
        <xdr:cNvPr id="2" name="テキスト ボックス 1">
          <a:extLst>
            <a:ext uri="{FF2B5EF4-FFF2-40B4-BE49-F238E27FC236}">
              <a16:creationId xmlns:a16="http://schemas.microsoft.com/office/drawing/2014/main" id="{57262C64-7009-4859-873B-D9BB33D5F745}"/>
            </a:ext>
          </a:extLst>
        </xdr:cNvPr>
        <xdr:cNvSpPr txBox="1"/>
      </xdr:nvSpPr>
      <xdr:spPr>
        <a:xfrm>
          <a:off x="9062357" y="4890952"/>
          <a:ext cx="4124868" cy="316447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留意点</a:t>
          </a:r>
          <a:r>
            <a:rPr kumimoji="1" lang="en-US" altLang="ja-JP" sz="1400"/>
            <a:t>】</a:t>
          </a:r>
        </a:p>
        <a:p>
          <a:pPr algn="l"/>
          <a:r>
            <a:rPr kumimoji="1" lang="en-US" altLang="ja-JP" sz="1400"/>
            <a:t>※</a:t>
          </a:r>
          <a:r>
            <a:rPr kumimoji="1" lang="ja-JP" altLang="en-US" sz="1400"/>
            <a:t>本様式は所得の種類ごとに作成が必要です。</a:t>
          </a:r>
        </a:p>
        <a:p>
          <a:pPr algn="l"/>
          <a:r>
            <a:rPr kumimoji="1" lang="en-US" altLang="ja-JP" sz="1400"/>
            <a:t>※</a:t>
          </a:r>
          <a:r>
            <a:rPr kumimoji="1" lang="ja-JP" altLang="en-US" sz="1400"/>
            <a:t>審査は所得（売上－経費）で行います。そのため、帳簿から転記した売上・経費が分かるよう帳簿の該当箇所に印を付けてください。</a:t>
          </a:r>
        </a:p>
        <a:p>
          <a:pPr algn="l"/>
          <a:r>
            <a:rPr kumimoji="1" lang="en-US" altLang="ja-JP" sz="1400"/>
            <a:t>※</a:t>
          </a:r>
          <a:r>
            <a:rPr kumimoji="1" lang="ja-JP" altLang="en-US" sz="1400"/>
            <a:t>帳簿を提出する場合は、家計急変者ごとに作成が必要です。</a:t>
          </a:r>
        </a:p>
        <a:p>
          <a:pPr algn="l"/>
          <a:r>
            <a:rPr kumimoji="1" lang="en-US" altLang="ja-JP" sz="1400"/>
            <a:t>※</a:t>
          </a:r>
          <a:r>
            <a:rPr kumimoji="1" lang="ja-JP" altLang="en-US" sz="1400"/>
            <a:t>専従者給与、役員報酬は給与所得になりますので帳簿の提出は不要です。</a:t>
          </a:r>
        </a:p>
      </xdr:txBody>
    </xdr:sp>
    <xdr:clientData/>
  </xdr:twoCellAnchor>
  <xdr:twoCellAnchor>
    <xdr:from>
      <xdr:col>11</xdr:col>
      <xdr:colOff>822687</xdr:colOff>
      <xdr:row>0</xdr:row>
      <xdr:rowOff>50347</xdr:rowOff>
    </xdr:from>
    <xdr:to>
      <xdr:col>14</xdr:col>
      <xdr:colOff>95248</xdr:colOff>
      <xdr:row>0</xdr:row>
      <xdr:rowOff>797379</xdr:rowOff>
    </xdr:to>
    <xdr:sp macro="" textlink="">
      <xdr:nvSpPr>
        <xdr:cNvPr id="3" name="テキスト ボックス 2">
          <a:extLst>
            <a:ext uri="{FF2B5EF4-FFF2-40B4-BE49-F238E27FC236}">
              <a16:creationId xmlns:a16="http://schemas.microsoft.com/office/drawing/2014/main" id="{8DFA6F71-56C8-4D89-BA7F-FE4089CEAF6A}"/>
            </a:ext>
          </a:extLst>
        </xdr:cNvPr>
        <xdr:cNvSpPr txBox="1"/>
      </xdr:nvSpPr>
      <xdr:spPr>
        <a:xfrm>
          <a:off x="11395437" y="50347"/>
          <a:ext cx="1871525" cy="7470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恒常的な所得</a:t>
          </a:r>
        </a:p>
      </xdr:txBody>
    </xdr:sp>
    <xdr:clientData/>
  </xdr:twoCellAnchor>
  <xdr:twoCellAnchor>
    <xdr:from>
      <xdr:col>9</xdr:col>
      <xdr:colOff>130356</xdr:colOff>
      <xdr:row>8</xdr:row>
      <xdr:rowOff>99060</xdr:rowOff>
    </xdr:from>
    <xdr:to>
      <xdr:col>14</xdr:col>
      <xdr:colOff>36738</xdr:colOff>
      <xdr:row>12</xdr:row>
      <xdr:rowOff>324392</xdr:rowOff>
    </xdr:to>
    <xdr:sp macro="" textlink="">
      <xdr:nvSpPr>
        <xdr:cNvPr id="4" name="テキスト ボックス 3">
          <a:extLst>
            <a:ext uri="{FF2B5EF4-FFF2-40B4-BE49-F238E27FC236}">
              <a16:creationId xmlns:a16="http://schemas.microsoft.com/office/drawing/2014/main" id="{362DEF4A-D734-4C64-9E3A-6603DA8E75A1}"/>
            </a:ext>
          </a:extLst>
        </xdr:cNvPr>
        <xdr:cNvSpPr txBox="1"/>
      </xdr:nvSpPr>
      <xdr:spPr>
        <a:xfrm>
          <a:off x="9070249" y="3650524"/>
          <a:ext cx="4138203" cy="113701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3-1</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①事業所得、②不動産所得、③利子所得、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④配当所得、⑤業務に係る雑所得</a:t>
          </a:r>
        </a:p>
      </xdr:txBody>
    </xdr:sp>
    <xdr:clientData/>
  </xdr:twoCellAnchor>
  <xdr:twoCellAnchor>
    <xdr:from>
      <xdr:col>6</xdr:col>
      <xdr:colOff>431316</xdr:colOff>
      <xdr:row>0</xdr:row>
      <xdr:rowOff>631340</xdr:rowOff>
    </xdr:from>
    <xdr:to>
      <xdr:col>12</xdr:col>
      <xdr:colOff>532360</xdr:colOff>
      <xdr:row>2</xdr:row>
      <xdr:rowOff>75657</xdr:rowOff>
    </xdr:to>
    <xdr:sp macro="" textlink="">
      <xdr:nvSpPr>
        <xdr:cNvPr id="5" name="テキスト ボックス 4">
          <a:extLst>
            <a:ext uri="{FF2B5EF4-FFF2-40B4-BE49-F238E27FC236}">
              <a16:creationId xmlns:a16="http://schemas.microsoft.com/office/drawing/2014/main" id="{7D558846-ABAE-4FE3-969D-8B9F554C5040}"/>
            </a:ext>
          </a:extLst>
        </xdr:cNvPr>
        <xdr:cNvSpPr txBox="1"/>
      </xdr:nvSpPr>
      <xdr:spPr>
        <a:xfrm>
          <a:off x="6594551" y="631340"/>
          <a:ext cx="5479868"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855345</xdr:colOff>
      <xdr:row>0</xdr:row>
      <xdr:rowOff>46536</xdr:rowOff>
    </xdr:from>
    <xdr:to>
      <xdr:col>14</xdr:col>
      <xdr:colOff>110761</xdr:colOff>
      <xdr:row>0</xdr:row>
      <xdr:rowOff>801188</xdr:rowOff>
    </xdr:to>
    <xdr:sp macro="" textlink="">
      <xdr:nvSpPr>
        <xdr:cNvPr id="3" name="テキスト ボックス 2">
          <a:extLst>
            <a:ext uri="{FF2B5EF4-FFF2-40B4-BE49-F238E27FC236}">
              <a16:creationId xmlns:a16="http://schemas.microsoft.com/office/drawing/2014/main" id="{B73D5F33-4C86-4BCF-B49D-6456C93D2142}"/>
            </a:ext>
          </a:extLst>
        </xdr:cNvPr>
        <xdr:cNvSpPr txBox="1"/>
      </xdr:nvSpPr>
      <xdr:spPr>
        <a:xfrm>
          <a:off x="11468916" y="46536"/>
          <a:ext cx="1854381" cy="75465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一時的な所得</a:t>
          </a:r>
        </a:p>
      </xdr:txBody>
    </xdr:sp>
    <xdr:clientData/>
  </xdr:twoCellAnchor>
  <xdr:twoCellAnchor>
    <xdr:from>
      <xdr:col>10</xdr:col>
      <xdr:colOff>132261</xdr:colOff>
      <xdr:row>14</xdr:row>
      <xdr:rowOff>202201</xdr:rowOff>
    </xdr:from>
    <xdr:to>
      <xdr:col>13</xdr:col>
      <xdr:colOff>965834</xdr:colOff>
      <xdr:row>20</xdr:row>
      <xdr:rowOff>35377</xdr:rowOff>
    </xdr:to>
    <xdr:sp macro="" textlink="">
      <xdr:nvSpPr>
        <xdr:cNvPr id="6" name="テキスト ボックス 5">
          <a:extLst>
            <a:ext uri="{FF2B5EF4-FFF2-40B4-BE49-F238E27FC236}">
              <a16:creationId xmlns:a16="http://schemas.microsoft.com/office/drawing/2014/main" id="{AF3DD703-9C23-4157-A927-8D5B1E117F2A}"/>
            </a:ext>
          </a:extLst>
        </xdr:cNvPr>
        <xdr:cNvSpPr txBox="1"/>
      </xdr:nvSpPr>
      <xdr:spPr>
        <a:xfrm>
          <a:off x="10079082" y="5168808"/>
          <a:ext cx="3133181" cy="309889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留意点</a:t>
          </a:r>
          <a:r>
            <a:rPr kumimoji="1" lang="en-US" altLang="ja-JP" sz="1400">
              <a:solidFill>
                <a:sysClr val="windowText" lastClr="000000"/>
              </a:solidFill>
              <a:latin typeface="+mn-ea"/>
              <a:ea typeface="+mn-ea"/>
            </a:rPr>
            <a:t>】</a:t>
          </a: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「所得の具体的内容」とは、例えば、株式を売却した、山林を伐採して売却した、土地建物を売却した等です。</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左記所得金額について、別紙</a:t>
          </a:r>
          <a:r>
            <a:rPr kumimoji="1" lang="en-US" altLang="ja-JP" sz="1400">
              <a:solidFill>
                <a:sysClr val="windowText" lastClr="000000"/>
              </a:solidFill>
              <a:latin typeface="+mn-ea"/>
              <a:ea typeface="+mn-ea"/>
            </a:rPr>
            <a:t>3</a:t>
          </a:r>
          <a:r>
            <a:rPr kumimoji="1" lang="ja-JP" altLang="en-US" sz="1400">
              <a:solidFill>
                <a:sysClr val="windowText" lastClr="000000"/>
              </a:solidFill>
              <a:latin typeface="+mn-ea"/>
              <a:ea typeface="+mn-ea"/>
            </a:rPr>
            <a:t>の⑥～⑨に対応する所得区分へ月ごとの金額を入力してください。</a:t>
          </a:r>
        </a:p>
      </xdr:txBody>
    </xdr:sp>
    <xdr:clientData/>
  </xdr:twoCellAnchor>
  <xdr:twoCellAnchor>
    <xdr:from>
      <xdr:col>10</xdr:col>
      <xdr:colOff>120561</xdr:colOff>
      <xdr:row>10</xdr:row>
      <xdr:rowOff>129543</xdr:rowOff>
    </xdr:from>
    <xdr:to>
      <xdr:col>13</xdr:col>
      <xdr:colOff>960121</xdr:colOff>
      <xdr:row>14</xdr:row>
      <xdr:rowOff>64226</xdr:rowOff>
    </xdr:to>
    <xdr:sp macro="" textlink="">
      <xdr:nvSpPr>
        <xdr:cNvPr id="2" name="テキスト ボックス 1">
          <a:extLst>
            <a:ext uri="{FF2B5EF4-FFF2-40B4-BE49-F238E27FC236}">
              <a16:creationId xmlns:a16="http://schemas.microsoft.com/office/drawing/2014/main" id="{9CF02C60-78DF-4E02-B499-6AF4908B94BE}"/>
            </a:ext>
          </a:extLst>
        </xdr:cNvPr>
        <xdr:cNvSpPr txBox="1"/>
      </xdr:nvSpPr>
      <xdr:spPr>
        <a:xfrm>
          <a:off x="10067382" y="3762650"/>
          <a:ext cx="3139168" cy="1268183"/>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3-2</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⑥その他の雑所得、⑦譲渡所得、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⑧一時所得、⑨山林所得</a:t>
          </a:r>
        </a:p>
      </xdr:txBody>
    </xdr:sp>
    <xdr:clientData/>
  </xdr:twoCellAnchor>
  <xdr:twoCellAnchor>
    <xdr:from>
      <xdr:col>6</xdr:col>
      <xdr:colOff>442744</xdr:colOff>
      <xdr:row>0</xdr:row>
      <xdr:rowOff>625625</xdr:rowOff>
    </xdr:from>
    <xdr:to>
      <xdr:col>12</xdr:col>
      <xdr:colOff>112058</xdr:colOff>
      <xdr:row>2</xdr:row>
      <xdr:rowOff>58736</xdr:rowOff>
    </xdr:to>
    <xdr:sp macro="" textlink="">
      <xdr:nvSpPr>
        <xdr:cNvPr id="4" name="テキスト ボックス 3">
          <a:extLst>
            <a:ext uri="{FF2B5EF4-FFF2-40B4-BE49-F238E27FC236}">
              <a16:creationId xmlns:a16="http://schemas.microsoft.com/office/drawing/2014/main" id="{6CE9DBA6-3755-4E2A-866E-B9D31911F64D}"/>
            </a:ext>
          </a:extLst>
        </xdr:cNvPr>
        <xdr:cNvSpPr txBox="1"/>
      </xdr:nvSpPr>
      <xdr:spPr>
        <a:xfrm>
          <a:off x="6605979" y="625625"/>
          <a:ext cx="5059344"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E508-9906-44C1-931A-8014C43CD267}">
  <sheetPr codeName="Sheet1">
    <tabColor rgb="FFCCECFF"/>
    <pageSetUpPr fitToPage="1"/>
  </sheetPr>
  <dimension ref="B3:Q29"/>
  <sheetViews>
    <sheetView showGridLines="0" tabSelected="1" view="pageBreakPreview" zoomScaleNormal="100" zoomScaleSheetLayoutView="100" workbookViewId="0">
      <selection activeCell="W26" sqref="W26"/>
    </sheetView>
  </sheetViews>
  <sheetFormatPr defaultColWidth="8.75" defaultRowHeight="18.75"/>
  <cols>
    <col min="1" max="1" width="8.75" style="10"/>
    <col min="2" max="3" width="1.5" style="10" customWidth="1"/>
    <col min="4" max="4" width="21" style="10" customWidth="1"/>
    <col min="5" max="5" width="8.75" style="10"/>
    <col min="6" max="6" width="21" style="10" customWidth="1"/>
    <col min="7" max="7" width="8.75" style="10"/>
    <col min="8" max="8" width="21" style="10" customWidth="1"/>
    <col min="9" max="9" width="8.75" style="10"/>
    <col min="10" max="10" width="21" style="10" customWidth="1"/>
    <col min="11" max="11" width="1.375" style="10" customWidth="1"/>
    <col min="12" max="12" width="7.25" style="10" customWidth="1"/>
    <col min="13" max="13" width="21" style="10" customWidth="1"/>
    <col min="14" max="15" width="1.5" style="10" customWidth="1"/>
    <col min="16" max="16384" width="8.75" style="10"/>
  </cols>
  <sheetData>
    <row r="3" spans="2:17" ht="57.6" customHeight="1">
      <c r="B3" s="175" t="s">
        <v>161</v>
      </c>
      <c r="C3" s="175"/>
      <c r="D3" s="175"/>
      <c r="E3" s="175"/>
      <c r="F3" s="175"/>
      <c r="G3" s="175"/>
      <c r="H3" s="175"/>
      <c r="I3" s="175"/>
      <c r="J3" s="175"/>
      <c r="K3" s="175"/>
      <c r="L3" s="175"/>
      <c r="M3" s="175"/>
      <c r="N3" s="175"/>
    </row>
    <row r="4" spans="2:17" ht="9" customHeight="1"/>
    <row r="5" spans="2:17" ht="9" customHeight="1" thickBot="1"/>
    <row r="6" spans="2:17" ht="42.6" customHeight="1" thickBot="1">
      <c r="C6" s="100"/>
      <c r="D6" s="101" t="s">
        <v>33</v>
      </c>
      <c r="E6" s="176" t="s">
        <v>143</v>
      </c>
      <c r="F6" s="177"/>
      <c r="H6" s="102" t="s">
        <v>34</v>
      </c>
      <c r="I6" s="176" t="s">
        <v>143</v>
      </c>
      <c r="J6" s="177"/>
      <c r="K6" s="103"/>
      <c r="M6" s="104" t="s">
        <v>43</v>
      </c>
    </row>
    <row r="7" spans="2:17" ht="21.6" customHeight="1">
      <c r="D7" s="178" t="s">
        <v>159</v>
      </c>
      <c r="E7" s="180">
        <v>45636</v>
      </c>
      <c r="F7" s="181"/>
      <c r="H7" s="178" t="s">
        <v>35</v>
      </c>
      <c r="I7" s="180">
        <v>27395</v>
      </c>
      <c r="J7" s="181"/>
      <c r="K7" s="105"/>
      <c r="M7" s="131">
        <v>45658</v>
      </c>
      <c r="Q7" s="117"/>
    </row>
    <row r="8" spans="2:17" ht="21.6" customHeight="1" thickBot="1">
      <c r="D8" s="179"/>
      <c r="E8" s="182"/>
      <c r="F8" s="183"/>
      <c r="H8" s="179"/>
      <c r="I8" s="182"/>
      <c r="J8" s="183"/>
      <c r="K8" s="105"/>
      <c r="M8" s="132">
        <v>45717</v>
      </c>
    </row>
    <row r="9" spans="2:17" ht="7.15" customHeight="1" thickBot="1">
      <c r="D9" s="12"/>
      <c r="E9" s="105"/>
      <c r="F9" s="105"/>
      <c r="H9" s="12"/>
      <c r="I9" s="105"/>
      <c r="J9" s="105"/>
      <c r="K9" s="105"/>
      <c r="M9" s="106"/>
    </row>
    <row r="10" spans="2:17" ht="20.45" customHeight="1">
      <c r="D10" s="169" t="s">
        <v>160</v>
      </c>
      <c r="E10" s="170"/>
      <c r="F10" s="170"/>
      <c r="G10" s="170"/>
      <c r="H10" s="171"/>
      <c r="I10" s="165"/>
      <c r="J10" s="166"/>
      <c r="M10" s="163">
        <f>IFERROR(IF(DATEDIF(M7,M8,"M")+1&gt;6,"Error !!",DATEDIF(M7,M8,"M")+1),"Error !!")</f>
        <v>3</v>
      </c>
    </row>
    <row r="11" spans="2:17" ht="20.45" customHeight="1" thickBot="1">
      <c r="D11" s="172"/>
      <c r="E11" s="173"/>
      <c r="F11" s="173"/>
      <c r="G11" s="173"/>
      <c r="H11" s="174"/>
      <c r="I11" s="167"/>
      <c r="J11" s="168"/>
      <c r="M11" s="164"/>
    </row>
    <row r="12" spans="2:17" ht="9" customHeight="1" thickBot="1">
      <c r="M12" s="107"/>
    </row>
    <row r="13" spans="2:17" ht="43.15" customHeight="1" thickBot="1">
      <c r="D13" s="160" t="s">
        <v>133</v>
      </c>
      <c r="E13" s="161"/>
      <c r="F13" s="161"/>
      <c r="G13" s="161"/>
      <c r="H13" s="161"/>
      <c r="I13" s="162"/>
      <c r="J13" s="130"/>
      <c r="M13" s="144" t="str">
        <f>IF(M10="Error !!","※上記提出期間の設定に誤りがあります。","")</f>
        <v/>
      </c>
    </row>
    <row r="14" spans="2:17" ht="9" customHeight="1">
      <c r="M14" s="107"/>
    </row>
    <row r="15" spans="2:17">
      <c r="C15" s="10" t="s">
        <v>80</v>
      </c>
    </row>
    <row r="16" spans="2:17" ht="7.15" customHeight="1" thickBot="1"/>
    <row r="17" spans="3:15" ht="39" customHeight="1" thickBot="1">
      <c r="D17" s="11" t="s">
        <v>36</v>
      </c>
      <c r="E17" s="13"/>
      <c r="F17" s="11" t="s">
        <v>41</v>
      </c>
      <c r="G17" s="13"/>
      <c r="H17" s="11" t="s">
        <v>73</v>
      </c>
      <c r="I17" s="13"/>
      <c r="J17" s="11" t="s">
        <v>32</v>
      </c>
      <c r="K17" s="13"/>
      <c r="L17" s="13"/>
      <c r="M17" s="11" t="s">
        <v>72</v>
      </c>
    </row>
    <row r="18" spans="3:15" ht="39" customHeight="1" thickBot="1">
      <c r="D18" s="108">
        <f>別紙1!S25</f>
        <v>4800000</v>
      </c>
      <c r="F18" s="108">
        <f>'（削除不可）給与・年金所得計算'!G22</f>
        <v>1400000</v>
      </c>
      <c r="H18" s="108">
        <f>'（削除不可）給与・年金所得計算'!G18</f>
        <v>3400000</v>
      </c>
      <c r="J18" s="108">
        <f>'（削除不可）給与・年金所得計算'!AG11</f>
        <v>100000</v>
      </c>
      <c r="K18" s="109"/>
      <c r="M18" s="108">
        <f>H18-J18</f>
        <v>3300000</v>
      </c>
    </row>
    <row r="19" spans="3:15">
      <c r="M19" s="110" t="s">
        <v>3</v>
      </c>
    </row>
    <row r="20" spans="3:15">
      <c r="C20" s="10" t="s">
        <v>39</v>
      </c>
    </row>
    <row r="21" spans="3:15" ht="7.15" customHeight="1" thickBot="1"/>
    <row r="22" spans="3:15" ht="39" customHeight="1" thickBot="1">
      <c r="D22" s="11" t="s">
        <v>37</v>
      </c>
      <c r="E22" s="13"/>
      <c r="F22" s="11" t="s">
        <v>40</v>
      </c>
      <c r="G22" s="13"/>
      <c r="H22" s="11" t="s">
        <v>42</v>
      </c>
      <c r="L22" s="111" t="s">
        <v>121</v>
      </c>
      <c r="M22" s="112" t="s">
        <v>120</v>
      </c>
    </row>
    <row r="23" spans="3:15" ht="39" customHeight="1" thickBot="1">
      <c r="D23" s="108">
        <f>別紙2!O18</f>
        <v>1200000</v>
      </c>
      <c r="F23" s="108">
        <f>'（削除不可）給与・年金所得計算'!T23</f>
        <v>600000</v>
      </c>
      <c r="H23" s="108">
        <f>'（削除不可）給与・年金所得計算'!S23</f>
        <v>600000</v>
      </c>
      <c r="M23" s="108">
        <f>'（削除不可）給与・年金所得計算'!AE18</f>
        <v>4360000</v>
      </c>
      <c r="O23" s="113"/>
    </row>
    <row r="24" spans="3:15">
      <c r="H24" s="110" t="s">
        <v>3</v>
      </c>
      <c r="O24" s="114"/>
    </row>
    <row r="25" spans="3:15">
      <c r="C25" s="10" t="s">
        <v>87</v>
      </c>
    </row>
    <row r="26" spans="3:15" ht="7.15" customHeight="1" thickBot="1"/>
    <row r="27" spans="3:15" ht="39" customHeight="1" thickBot="1">
      <c r="D27" s="11" t="s">
        <v>38</v>
      </c>
      <c r="M27" s="11" t="s">
        <v>64</v>
      </c>
    </row>
    <row r="28" spans="3:15" ht="39" customHeight="1" thickBot="1">
      <c r="D28" s="108">
        <f>別紙3!N21</f>
        <v>960000</v>
      </c>
      <c r="K28" s="114"/>
      <c r="L28" s="115" t="s">
        <v>58</v>
      </c>
      <c r="M28" s="108">
        <f>SUM(M18,H23,D28)</f>
        <v>4860000</v>
      </c>
      <c r="O28" s="113"/>
    </row>
    <row r="29" spans="3:15">
      <c r="D29" s="110" t="s">
        <v>3</v>
      </c>
      <c r="K29" s="114"/>
      <c r="L29" s="116"/>
      <c r="M29" s="114"/>
      <c r="O29" s="114"/>
    </row>
  </sheetData>
  <sheetProtection algorithmName="SHA-512" hashValue="MJK7FLWAH6iCOurT5KV7MGKWKmA1+Uz/+7A+eJk/+ChkYrXyWeOUoy8QxcffwgBWbf4H3UxELOxluEfISpHy/w==" saltValue="KhE0tGiIhq9BhXYf/Yo45w==" spinCount="100000" sheet="1" objects="1" scenarios="1"/>
  <mergeCells count="11">
    <mergeCell ref="D13:I13"/>
    <mergeCell ref="M10:M11"/>
    <mergeCell ref="I10:J11"/>
    <mergeCell ref="D10:H11"/>
    <mergeCell ref="B3:N3"/>
    <mergeCell ref="E6:F6"/>
    <mergeCell ref="I6:J6"/>
    <mergeCell ref="H7:H8"/>
    <mergeCell ref="I7:J8"/>
    <mergeCell ref="D7:D8"/>
    <mergeCell ref="E7:F8"/>
  </mergeCells>
  <phoneticPr fontId="1"/>
  <conditionalFormatting sqref="M10:M11">
    <cfRule type="cellIs" dxfId="0" priority="1" operator="equal">
      <formula>"Error !!"</formula>
    </cfRule>
  </conditionalFormatting>
  <dataValidations count="2">
    <dataValidation type="list" allowBlank="1" showInputMessage="1" showErrorMessage="1" sqref="I10:J11" xr:uid="{7043B78C-BFA6-4772-BD17-85681EA0D1CF}">
      <formula1>"はい（家計急変者自身が特別障害者）,はい（同一生計配偶者が特別障害者）,はい（扶養親族が特別障害者）,はい（23歳未満の扶養親族がいる）,いいえ"</formula1>
    </dataValidation>
    <dataValidation type="list" allowBlank="1" showInputMessage="1" showErrorMessage="1" sqref="J13" xr:uid="{FFCA708C-C7E7-44F8-93E7-95A91F5678FC}">
      <formula1>"✓"</formula1>
    </dataValidation>
  </dataValidations>
  <printOptions horizontalCentered="1"/>
  <pageMargins left="0.70866141732283472" right="0.70866141732283472" top="0.74803149606299213" bottom="0.74803149606299213" header="0.31496062992125984" footer="0.31496062992125984"/>
  <pageSetup paperSize="9" scale="77"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16DB66-2A83-4335-AC2F-F84EE7458222}">
          <x14:formula1>
            <xm:f>'（削除不可）給与・年金所得計算'!$A$32:$A$120</xm:f>
          </x14:formula1>
          <xm:sqref>M7</xm:sqref>
        </x14:dataValidation>
        <x14:dataValidation type="list" allowBlank="1" showInputMessage="1" showErrorMessage="1" xr:uid="{D1BC4FA2-78C9-4FEE-BAC4-FA008B57399E}">
          <x14:formula1>
            <xm:f>'（削除不可）給与・年金所得計算'!$A$36:$A$120</xm:f>
          </x14:formula1>
          <xm:sqref>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CB8C-2040-4F50-AC14-EEEFA6F6D9AD}">
  <sheetPr codeName="Sheet2">
    <tabColor rgb="FFCCECFF"/>
    <pageSetUpPr fitToPage="1"/>
  </sheetPr>
  <dimension ref="C1:T26"/>
  <sheetViews>
    <sheetView showGridLines="0" view="pageBreakPreview" zoomScaleNormal="100" zoomScaleSheetLayoutView="100" workbookViewId="0">
      <selection activeCell="W26" sqref="W26"/>
    </sheetView>
  </sheetViews>
  <sheetFormatPr defaultColWidth="8.75" defaultRowHeight="18.75"/>
  <cols>
    <col min="1" max="1" width="8.75" style="67"/>
    <col min="2" max="2" width="1.75" style="67" customWidth="1"/>
    <col min="3" max="3" width="38" style="67" customWidth="1"/>
    <col min="4" max="10" width="14.75" style="67" customWidth="1"/>
    <col min="11" max="11" width="2.5" style="67" customWidth="1"/>
    <col min="12" max="13" width="4.75" style="67" customWidth="1"/>
    <col min="14" max="14" width="3.25" style="67" customWidth="1"/>
    <col min="15" max="15" width="14.75" style="67" customWidth="1"/>
    <col min="16" max="16" width="8.75" style="67"/>
    <col min="17" max="17" width="14.75" style="67" customWidth="1"/>
    <col min="18" max="18" width="8.75" style="67"/>
    <col min="19" max="19" width="14.75" style="67" customWidth="1"/>
    <col min="20" max="20" width="1.75" style="67" customWidth="1"/>
    <col min="21" max="21" width="8.75" style="67"/>
    <col min="22" max="22" width="11.5" style="67" customWidth="1"/>
    <col min="23" max="23" width="8.75" style="67"/>
    <col min="24" max="24" width="9.375" style="67" bestFit="1" customWidth="1"/>
    <col min="25" max="27" width="8.75" style="67"/>
    <col min="28" max="28" width="9.875" style="67" bestFit="1" customWidth="1"/>
    <col min="29" max="16384" width="8.75" style="67"/>
  </cols>
  <sheetData>
    <row r="1" spans="3:17" ht="30">
      <c r="C1" s="66" t="s">
        <v>162</v>
      </c>
    </row>
    <row r="2" spans="3:17" ht="12" customHeight="1">
      <c r="C2" s="68"/>
    </row>
    <row r="3" spans="3:17" ht="12" customHeight="1">
      <c r="C3" s="68"/>
    </row>
    <row r="4" spans="3:17" ht="39" customHeight="1">
      <c r="C4" s="145" t="str">
        <f>総表!D6&amp;"："&amp;総表!E6</f>
        <v>生徒氏名：〇〇　〇〇</v>
      </c>
      <c r="D4" s="83"/>
      <c r="E4" s="74"/>
      <c r="F4" s="68"/>
      <c r="G4" s="186" t="s">
        <v>16</v>
      </c>
      <c r="H4" s="187"/>
      <c r="I4" s="148">
        <f>総表!M10</f>
        <v>3</v>
      </c>
      <c r="J4" s="149" t="s">
        <v>5</v>
      </c>
      <c r="K4" s="84"/>
      <c r="L4" s="68"/>
      <c r="M4" s="68"/>
      <c r="N4" s="68"/>
      <c r="O4" s="68"/>
      <c r="P4" s="68"/>
      <c r="Q4" s="68"/>
    </row>
    <row r="5" spans="3:17" ht="39" customHeight="1">
      <c r="C5" s="145" t="str">
        <f>総表!H6&amp;"："&amp;総表!I6</f>
        <v>家計急変者氏名：〇〇　〇〇</v>
      </c>
      <c r="D5" s="146" t="s">
        <v>54</v>
      </c>
      <c r="E5" s="147">
        <f>IF(総表!I7="","",総表!I7)</f>
        <v>27395</v>
      </c>
      <c r="F5" s="146" t="s">
        <v>152</v>
      </c>
      <c r="G5" s="147">
        <f>総表!E7</f>
        <v>45636</v>
      </c>
      <c r="H5" s="68"/>
      <c r="I5" s="75"/>
      <c r="J5" s="75"/>
      <c r="K5" s="68"/>
      <c r="L5" s="68"/>
      <c r="M5" s="68"/>
      <c r="N5" s="68"/>
      <c r="O5" s="68"/>
      <c r="P5" s="68"/>
      <c r="Q5" s="68"/>
    </row>
    <row r="6" spans="3:17" ht="12" customHeight="1">
      <c r="E6" s="76"/>
    </row>
    <row r="7" spans="3:17" ht="12" customHeight="1">
      <c r="E7" s="76"/>
    </row>
    <row r="8" spans="3:17" ht="24">
      <c r="C8" s="68" t="s">
        <v>85</v>
      </c>
      <c r="J8" s="77" t="s">
        <v>57</v>
      </c>
    </row>
    <row r="9" spans="3:17" ht="25.15" customHeight="1">
      <c r="C9" s="184" t="s">
        <v>4</v>
      </c>
      <c r="D9" s="150">
        <f>総表!M7</f>
        <v>45658</v>
      </c>
      <c r="E9" s="150">
        <f>IF(総表!M10&gt;=2,EDATE(D9,1),"")</f>
        <v>45689</v>
      </c>
      <c r="F9" s="150">
        <f>IF(総表!M10&gt;=3,EDATE(E9,1),"")</f>
        <v>45717</v>
      </c>
      <c r="G9" s="150" t="str">
        <f>IF(総表!M10&gt;=4,EDATE(F9,1),"")</f>
        <v/>
      </c>
      <c r="H9" s="150" t="str">
        <f>IF(総表!M10&gt;=5,EDATE(G9,1),"")</f>
        <v/>
      </c>
      <c r="I9" s="150" t="str">
        <f>IF(総表!M10=6,EDATE(H9,1),"")</f>
        <v/>
      </c>
      <c r="J9" s="124" t="s">
        <v>51</v>
      </c>
    </row>
    <row r="10" spans="3:17" ht="25.15" customHeight="1">
      <c r="C10" s="185"/>
      <c r="D10" s="151">
        <f>D9</f>
        <v>45658</v>
      </c>
      <c r="E10" s="151">
        <f t="shared" ref="E10:I10" si="0">E9</f>
        <v>45689</v>
      </c>
      <c r="F10" s="151">
        <f t="shared" si="0"/>
        <v>45717</v>
      </c>
      <c r="G10" s="151" t="str">
        <f>G9</f>
        <v/>
      </c>
      <c r="H10" s="151" t="str">
        <f t="shared" si="0"/>
        <v/>
      </c>
      <c r="I10" s="151" t="str">
        <f t="shared" si="0"/>
        <v/>
      </c>
      <c r="J10" s="125" t="s">
        <v>52</v>
      </c>
    </row>
    <row r="11" spans="3:17" ht="24">
      <c r="C11" s="123" t="s">
        <v>131</v>
      </c>
      <c r="D11" s="126"/>
      <c r="E11" s="126"/>
      <c r="F11" s="126"/>
      <c r="G11" s="126"/>
      <c r="H11" s="126"/>
      <c r="I11" s="126"/>
      <c r="J11" s="126"/>
      <c r="K11" s="79"/>
      <c r="L11" s="79"/>
      <c r="M11" s="79"/>
    </row>
    <row r="12" spans="3:17" ht="50.45" customHeight="1">
      <c r="C12" s="133" t="s">
        <v>132</v>
      </c>
      <c r="D12" s="134">
        <v>100000</v>
      </c>
      <c r="E12" s="134">
        <v>100000</v>
      </c>
      <c r="F12" s="134">
        <v>100000</v>
      </c>
      <c r="G12" s="134"/>
      <c r="H12" s="134"/>
      <c r="I12" s="134"/>
      <c r="J12" s="85">
        <f>SUM(D12:I12)</f>
        <v>300000</v>
      </c>
      <c r="K12" s="79"/>
      <c r="L12" s="79"/>
      <c r="M12" s="79"/>
    </row>
    <row r="13" spans="3:17" ht="50.45" customHeight="1">
      <c r="C13" s="133" t="s">
        <v>45</v>
      </c>
      <c r="D13" s="134"/>
      <c r="E13" s="134">
        <v>100000</v>
      </c>
      <c r="F13" s="134">
        <v>100000</v>
      </c>
      <c r="G13" s="134"/>
      <c r="H13" s="134"/>
      <c r="I13" s="134"/>
      <c r="J13" s="85">
        <f>SUM(D13:I13)</f>
        <v>200000</v>
      </c>
      <c r="K13" s="79"/>
      <c r="L13" s="79"/>
      <c r="M13" s="79"/>
      <c r="P13" s="86"/>
    </row>
    <row r="14" spans="3:17" ht="50.45" customHeight="1">
      <c r="C14" s="133" t="s">
        <v>44</v>
      </c>
      <c r="D14" s="134">
        <v>150000</v>
      </c>
      <c r="E14" s="134">
        <v>150000</v>
      </c>
      <c r="F14" s="134">
        <v>150000</v>
      </c>
      <c r="G14" s="134"/>
      <c r="H14" s="134"/>
      <c r="I14" s="134"/>
      <c r="J14" s="85">
        <f>SUM(D14:I14)</f>
        <v>450000</v>
      </c>
      <c r="K14" s="79"/>
      <c r="L14" s="79"/>
      <c r="M14" s="79"/>
      <c r="O14" s="87"/>
      <c r="P14" s="88"/>
      <c r="Q14" s="87"/>
    </row>
    <row r="15" spans="3:17" ht="50.45" customHeight="1" thickBot="1">
      <c r="C15" s="133" t="s">
        <v>46</v>
      </c>
      <c r="D15" s="134"/>
      <c r="E15" s="134"/>
      <c r="F15" s="134"/>
      <c r="G15" s="134"/>
      <c r="H15" s="134"/>
      <c r="I15" s="134"/>
      <c r="J15" s="85">
        <f>SUM(D15:I15)</f>
        <v>0</v>
      </c>
      <c r="K15" s="79"/>
      <c r="L15" s="79"/>
      <c r="M15" s="79"/>
      <c r="O15" s="127" t="s">
        <v>50</v>
      </c>
      <c r="P15" s="88"/>
      <c r="Q15" s="127" t="s">
        <v>53</v>
      </c>
    </row>
    <row r="16" spans="3:17" ht="50.45" customHeight="1" thickBot="1">
      <c r="C16" s="133" t="s">
        <v>59</v>
      </c>
      <c r="D16" s="134"/>
      <c r="E16" s="134"/>
      <c r="F16" s="134"/>
      <c r="G16" s="134"/>
      <c r="H16" s="134"/>
      <c r="I16" s="134"/>
      <c r="J16" s="85">
        <f>SUM(D16:I16)</f>
        <v>0</v>
      </c>
      <c r="K16" s="79"/>
      <c r="L16" s="79"/>
      <c r="M16" s="79"/>
      <c r="O16" s="89">
        <f>SUM(J12:J16)</f>
        <v>950000</v>
      </c>
      <c r="P16" s="90">
        <f>12/$I$4</f>
        <v>4</v>
      </c>
      <c r="Q16" s="89">
        <f>ROUNDDOWN(O16*P16,0)</f>
        <v>3800000</v>
      </c>
    </row>
    <row r="17" spans="3:20" ht="12" customHeight="1">
      <c r="C17" s="91"/>
      <c r="D17" s="92"/>
      <c r="E17" s="92"/>
      <c r="F17" s="92"/>
      <c r="G17" s="92"/>
      <c r="H17" s="92"/>
      <c r="I17" s="92"/>
      <c r="J17" s="92"/>
      <c r="K17" s="79"/>
      <c r="L17" s="79"/>
      <c r="M17" s="79"/>
      <c r="O17" s="79"/>
      <c r="P17" s="93"/>
      <c r="Q17" s="79"/>
    </row>
    <row r="18" spans="3:20" ht="52.9" customHeight="1">
      <c r="C18" s="188" t="s">
        <v>147</v>
      </c>
      <c r="D18" s="189"/>
      <c r="E18" s="189"/>
      <c r="F18" s="189"/>
      <c r="G18" s="189"/>
      <c r="H18" s="189"/>
      <c r="I18" s="190"/>
      <c r="J18" s="135"/>
      <c r="K18" s="79"/>
      <c r="L18" s="79"/>
      <c r="M18" s="79"/>
      <c r="O18" s="79"/>
      <c r="P18" s="93"/>
      <c r="Q18" s="79"/>
    </row>
    <row r="19" spans="3:20" ht="12" customHeight="1">
      <c r="C19" s="91"/>
      <c r="D19" s="92"/>
      <c r="E19" s="92"/>
      <c r="F19" s="92"/>
      <c r="G19" s="92"/>
      <c r="H19" s="92"/>
      <c r="I19" s="92"/>
      <c r="J19" s="92"/>
      <c r="K19" s="79"/>
      <c r="L19" s="79"/>
      <c r="M19" s="79"/>
      <c r="O19" s="79"/>
      <c r="P19" s="93"/>
      <c r="Q19" s="79"/>
    </row>
    <row r="20" spans="3:20" ht="24.75" thickBot="1">
      <c r="C20" s="80" t="s">
        <v>0</v>
      </c>
      <c r="D20" s="128"/>
      <c r="E20" s="128"/>
      <c r="F20" s="128"/>
      <c r="G20" s="128"/>
      <c r="H20" s="128"/>
      <c r="I20" s="128"/>
      <c r="J20" s="128"/>
      <c r="K20" s="79"/>
      <c r="L20" s="94" t="s">
        <v>47</v>
      </c>
      <c r="M20" s="94" t="s">
        <v>48</v>
      </c>
      <c r="O20" s="129" t="s">
        <v>49</v>
      </c>
      <c r="P20" s="90"/>
      <c r="Q20" s="127" t="s">
        <v>53</v>
      </c>
    </row>
    <row r="21" spans="3:20" ht="50.45" customHeight="1" thickBot="1">
      <c r="C21" s="133" t="s">
        <v>146</v>
      </c>
      <c r="D21" s="134"/>
      <c r="E21" s="134">
        <v>300000</v>
      </c>
      <c r="F21" s="134"/>
      <c r="G21" s="134"/>
      <c r="H21" s="134"/>
      <c r="I21" s="134"/>
      <c r="J21" s="85">
        <f>SUM(D21:I21)</f>
        <v>300000</v>
      </c>
      <c r="K21" s="79"/>
      <c r="L21" s="136">
        <v>1</v>
      </c>
      <c r="M21" s="136">
        <v>1</v>
      </c>
      <c r="O21" s="89">
        <f>J21</f>
        <v>300000</v>
      </c>
      <c r="P21" s="90">
        <f>IFERROR(M21/L21,"-")</f>
        <v>1</v>
      </c>
      <c r="Q21" s="89">
        <f>IFERROR(ROUNDDOWN(O21*P21,0),"")</f>
        <v>300000</v>
      </c>
    </row>
    <row r="22" spans="3:20" ht="50.45" customHeight="1" thickBot="1">
      <c r="C22" s="133" t="s">
        <v>45</v>
      </c>
      <c r="D22" s="134"/>
      <c r="E22" s="134"/>
      <c r="F22" s="134">
        <v>200000</v>
      </c>
      <c r="G22" s="134"/>
      <c r="H22" s="134"/>
      <c r="I22" s="134"/>
      <c r="J22" s="85">
        <f>SUM(D22:I22)</f>
        <v>200000</v>
      </c>
      <c r="K22" s="79"/>
      <c r="L22" s="136">
        <v>1</v>
      </c>
      <c r="M22" s="136">
        <v>2</v>
      </c>
      <c r="O22" s="89">
        <f>J22</f>
        <v>200000</v>
      </c>
      <c r="P22" s="90">
        <f>IFERROR(M22/L22,"-")</f>
        <v>2</v>
      </c>
      <c r="Q22" s="89">
        <f t="shared" ref="Q22:Q25" si="1">IFERROR(ROUNDDOWN(O22*P22,0),"")</f>
        <v>400000</v>
      </c>
    </row>
    <row r="23" spans="3:20" ht="50.45" customHeight="1" thickBot="1">
      <c r="C23" s="133" t="s">
        <v>44</v>
      </c>
      <c r="D23" s="134">
        <v>100000</v>
      </c>
      <c r="E23" s="134"/>
      <c r="F23" s="134">
        <v>100000</v>
      </c>
      <c r="G23" s="134"/>
      <c r="H23" s="134"/>
      <c r="I23" s="134"/>
      <c r="J23" s="85">
        <f>SUM(D23:I23)</f>
        <v>200000</v>
      </c>
      <c r="K23" s="79"/>
      <c r="L23" s="136">
        <v>2</v>
      </c>
      <c r="M23" s="136">
        <v>3</v>
      </c>
      <c r="O23" s="89">
        <f>J23</f>
        <v>200000</v>
      </c>
      <c r="P23" s="90">
        <f>IFERROR(M23/L23,"-")</f>
        <v>1.5</v>
      </c>
      <c r="Q23" s="89">
        <f t="shared" si="1"/>
        <v>300000</v>
      </c>
      <c r="S23" s="95"/>
      <c r="T23" s="79"/>
    </row>
    <row r="24" spans="3:20" ht="50.45" customHeight="1" thickBot="1">
      <c r="C24" s="133" t="s">
        <v>46</v>
      </c>
      <c r="D24" s="134"/>
      <c r="E24" s="134"/>
      <c r="F24" s="134"/>
      <c r="G24" s="134"/>
      <c r="H24" s="134"/>
      <c r="I24" s="134"/>
      <c r="J24" s="85">
        <f>SUM(D24:I24)</f>
        <v>0</v>
      </c>
      <c r="K24" s="79"/>
      <c r="L24" s="136">
        <v>0</v>
      </c>
      <c r="M24" s="136">
        <v>0</v>
      </c>
      <c r="O24" s="89">
        <f>J24</f>
        <v>0</v>
      </c>
      <c r="P24" s="90" t="str">
        <f>IFERROR(M24/L24,"-")</f>
        <v>-</v>
      </c>
      <c r="Q24" s="89" t="str">
        <f>IFERROR(ROUNDDOWN(O24*P24,0),"")</f>
        <v/>
      </c>
      <c r="S24" s="129" t="s">
        <v>53</v>
      </c>
      <c r="T24" s="79"/>
    </row>
    <row r="25" spans="3:20" ht="50.45" customHeight="1" thickTop="1" thickBot="1">
      <c r="C25" s="133" t="s">
        <v>59</v>
      </c>
      <c r="D25" s="134"/>
      <c r="E25" s="134"/>
      <c r="F25" s="134"/>
      <c r="G25" s="134"/>
      <c r="H25" s="134"/>
      <c r="I25" s="134"/>
      <c r="J25" s="85">
        <f>SUM(D25:I25)</f>
        <v>0</v>
      </c>
      <c r="K25" s="79"/>
      <c r="L25" s="136">
        <v>0</v>
      </c>
      <c r="M25" s="136">
        <v>1</v>
      </c>
      <c r="O25" s="89">
        <f>J25</f>
        <v>0</v>
      </c>
      <c r="P25" s="90" t="str">
        <f>IFERROR(M25/L25,"-")</f>
        <v>-</v>
      </c>
      <c r="Q25" s="89" t="str">
        <f t="shared" si="1"/>
        <v/>
      </c>
      <c r="S25" s="96">
        <f>SUM(Q16,Q21:Q25)</f>
        <v>4800000</v>
      </c>
      <c r="T25" s="79"/>
    </row>
    <row r="26" spans="3:20" ht="24">
      <c r="C26" s="97"/>
      <c r="D26" s="98"/>
      <c r="E26" s="98"/>
      <c r="F26" s="98"/>
      <c r="G26" s="98"/>
      <c r="H26" s="98"/>
      <c r="I26" s="98"/>
      <c r="J26" s="98"/>
      <c r="K26" s="79"/>
      <c r="L26" s="99"/>
      <c r="M26" s="99"/>
      <c r="P26" s="86"/>
      <c r="S26" s="77"/>
      <c r="T26" s="77" t="s">
        <v>86</v>
      </c>
    </row>
  </sheetData>
  <sheetProtection algorithmName="SHA-512" hashValue="mXr2SRQJTGklYZwN8poT6yGJjDAv4aKiScNcUwOhsnnjYFWKNmGk9cu+yxpMiPTcD0y6AIWovbL54togwNLn9Q==" saltValue="7YM5QiwtC+VSwi84aiBg5Q==" spinCount="100000" sheet="1" objects="1" scenarios="1"/>
  <mergeCells count="3">
    <mergeCell ref="C9:C10"/>
    <mergeCell ref="G4:H4"/>
    <mergeCell ref="C18:I18"/>
  </mergeCells>
  <phoneticPr fontId="1"/>
  <dataValidations count="1">
    <dataValidation type="list" allowBlank="1" showInputMessage="1" showErrorMessage="1" sqref="J18" xr:uid="{55EBEF70-3668-487F-822C-E8C206D3B699}">
      <formula1>"✓"</formula1>
    </dataValidation>
  </dataValidations>
  <printOptions horizontalCentered="1"/>
  <pageMargins left="0.70866141732283472" right="0.70866141732283472" top="0.74803149606299213" bottom="0.74803149606299213" header="0.31496062992125984" footer="0.31496062992125984"/>
  <pageSetup paperSize="9" scale="53"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912F-7B57-4992-B164-C1D0DFCD3912}">
  <sheetPr codeName="Sheet3">
    <tabColor rgb="FFCCECFF"/>
    <pageSetUpPr fitToPage="1"/>
  </sheetPr>
  <dimension ref="C1:AB34"/>
  <sheetViews>
    <sheetView showGridLines="0" view="pageBreakPreview" zoomScaleNormal="100" zoomScaleSheetLayoutView="100" workbookViewId="0">
      <selection activeCell="W26" sqref="W26"/>
    </sheetView>
  </sheetViews>
  <sheetFormatPr defaultRowHeight="18.75"/>
  <cols>
    <col min="2" max="2" width="1.75" customWidth="1"/>
    <col min="3" max="3" width="31.25" customWidth="1"/>
    <col min="4" max="10" width="12.625" customWidth="1"/>
    <col min="11" max="11" width="3.25" customWidth="1"/>
    <col min="12" max="12" width="8.75" customWidth="1"/>
    <col min="13" max="13" width="14.25" customWidth="1"/>
    <col min="15" max="15" width="14.25" customWidth="1"/>
    <col min="16" max="16" width="1.75" customWidth="1"/>
    <col min="18" max="18" width="11.5" customWidth="1"/>
    <col min="19" max="19" width="9.375" bestFit="1" customWidth="1"/>
    <col min="23" max="23" width="9.875" bestFit="1" customWidth="1"/>
  </cols>
  <sheetData>
    <row r="1" spans="3:15" ht="70.900000000000006" customHeight="1">
      <c r="C1" s="21" t="s">
        <v>163</v>
      </c>
    </row>
    <row r="2" spans="3:15" ht="12" customHeight="1">
      <c r="C2" s="4"/>
    </row>
    <row r="3" spans="3:15" ht="12" customHeight="1">
      <c r="C3" s="4"/>
    </row>
    <row r="4" spans="3:15" ht="39" customHeight="1">
      <c r="C4" s="152" t="str">
        <f>総表!D6&amp;"："&amp;総表!E6</f>
        <v>生徒氏名：〇〇　〇〇</v>
      </c>
      <c r="D4" s="22"/>
      <c r="E4" s="23"/>
      <c r="F4" s="4"/>
      <c r="G4" s="193" t="s">
        <v>16</v>
      </c>
      <c r="H4" s="194"/>
      <c r="I4" s="156">
        <f>総表!M10</f>
        <v>3</v>
      </c>
      <c r="J4" s="157" t="s">
        <v>5</v>
      </c>
      <c r="K4" s="4"/>
      <c r="L4" s="4"/>
    </row>
    <row r="5" spans="3:15" ht="39" customHeight="1">
      <c r="C5" s="152" t="str">
        <f>総表!H6&amp;"："&amp;総表!I6</f>
        <v>家計急変者氏名：〇〇　〇〇</v>
      </c>
      <c r="D5" s="153" t="s">
        <v>54</v>
      </c>
      <c r="E5" s="154">
        <f>総表!I7</f>
        <v>27395</v>
      </c>
      <c r="F5" s="155" t="s">
        <v>152</v>
      </c>
      <c r="G5" s="154">
        <f>総表!E7</f>
        <v>45636</v>
      </c>
      <c r="H5" s="4"/>
      <c r="I5" s="156">
        <f>DATEDIF(E5,I6,"Y")</f>
        <v>49</v>
      </c>
      <c r="J5" s="158" t="s">
        <v>7</v>
      </c>
      <c r="K5" s="195" t="s">
        <v>110</v>
      </c>
      <c r="L5" s="196"/>
      <c r="M5" s="196"/>
      <c r="N5" s="196"/>
      <c r="O5" s="196"/>
    </row>
    <row r="6" spans="3:15" ht="38.450000000000003" customHeight="1">
      <c r="E6" s="9"/>
      <c r="H6" s="28" t="s">
        <v>114</v>
      </c>
      <c r="I6" s="138">
        <v>45292</v>
      </c>
      <c r="J6" s="197" t="str">
        <f>VLOOKUP(I6,AA26:AB34,2)</f>
        <v>2024(令和6)年7月～2025(令和7)年6月支給分で適用する基準日です。</v>
      </c>
      <c r="K6" s="198"/>
      <c r="L6" s="198"/>
      <c r="M6" s="198"/>
      <c r="N6" s="198"/>
      <c r="O6" s="199"/>
    </row>
    <row r="7" spans="3:15" ht="32.450000000000003" customHeight="1">
      <c r="E7" s="9"/>
    </row>
    <row r="8" spans="3:15" ht="24">
      <c r="C8" s="27" t="s">
        <v>55</v>
      </c>
      <c r="J8" s="28" t="s">
        <v>57</v>
      </c>
    </row>
    <row r="9" spans="3:15" ht="24">
      <c r="C9" s="191" t="s">
        <v>4</v>
      </c>
      <c r="D9" s="150">
        <f>総表!M7</f>
        <v>45658</v>
      </c>
      <c r="E9" s="150">
        <f>IF(総表!M10&gt;=2,EDATE(D9,1),"")</f>
        <v>45689</v>
      </c>
      <c r="F9" s="150">
        <f>IF(総表!M10&gt;=3,EDATE(E9,1),"")</f>
        <v>45717</v>
      </c>
      <c r="G9" s="150" t="str">
        <f>IF(総表!M10&gt;=4,EDATE(F9,1),"")</f>
        <v/>
      </c>
      <c r="H9" s="150" t="str">
        <f>IF(総表!M10&gt;=5,EDATE(G9,1),"")</f>
        <v/>
      </c>
      <c r="I9" s="150" t="str">
        <f>IF(総表!M10=6,EDATE(H9,1),"")</f>
        <v/>
      </c>
      <c r="J9" s="119" t="s">
        <v>51</v>
      </c>
    </row>
    <row r="10" spans="3:15" ht="24">
      <c r="C10" s="192"/>
      <c r="D10" s="151">
        <f>D9</f>
        <v>45658</v>
      </c>
      <c r="E10" s="151">
        <f t="shared" ref="E10:I10" si="0">E9</f>
        <v>45689</v>
      </c>
      <c r="F10" s="151">
        <f t="shared" si="0"/>
        <v>45717</v>
      </c>
      <c r="G10" s="151" t="str">
        <f t="shared" si="0"/>
        <v/>
      </c>
      <c r="H10" s="151" t="str">
        <f t="shared" si="0"/>
        <v/>
      </c>
      <c r="I10" s="151" t="str">
        <f t="shared" si="0"/>
        <v/>
      </c>
      <c r="J10" s="120" t="s">
        <v>52</v>
      </c>
    </row>
    <row r="11" spans="3:15" ht="50.45" customHeight="1">
      <c r="C11" s="139" t="s">
        <v>81</v>
      </c>
      <c r="D11" s="137">
        <v>20000</v>
      </c>
      <c r="E11" s="137">
        <v>20000</v>
      </c>
      <c r="F11" s="137">
        <v>20000</v>
      </c>
      <c r="G11" s="137"/>
      <c r="H11" s="137"/>
      <c r="I11" s="137"/>
      <c r="J11" s="19">
        <f t="shared" ref="J11:J18" si="1">SUM(D11:I11)</f>
        <v>60000</v>
      </c>
    </row>
    <row r="12" spans="3:15" ht="50.45" customHeight="1">
      <c r="C12" s="139" t="s">
        <v>82</v>
      </c>
      <c r="D12" s="137">
        <v>30000</v>
      </c>
      <c r="E12" s="137">
        <v>30000</v>
      </c>
      <c r="F12" s="137">
        <v>30000</v>
      </c>
      <c r="G12" s="137"/>
      <c r="H12" s="137"/>
      <c r="I12" s="137"/>
      <c r="J12" s="19">
        <f t="shared" si="1"/>
        <v>90000</v>
      </c>
    </row>
    <row r="13" spans="3:15" ht="50.45" customHeight="1">
      <c r="C13" s="139" t="s">
        <v>83</v>
      </c>
      <c r="D13" s="137">
        <v>40000</v>
      </c>
      <c r="E13" s="137">
        <v>40000</v>
      </c>
      <c r="F13" s="137">
        <v>40000</v>
      </c>
      <c r="G13" s="137"/>
      <c r="H13" s="137"/>
      <c r="I13" s="137"/>
      <c r="J13" s="19">
        <f t="shared" si="1"/>
        <v>120000</v>
      </c>
    </row>
    <row r="14" spans="3:15" ht="50.45" customHeight="1">
      <c r="C14" s="139" t="s">
        <v>84</v>
      </c>
      <c r="D14" s="137">
        <v>10000</v>
      </c>
      <c r="E14" s="137">
        <v>10000</v>
      </c>
      <c r="F14" s="137">
        <v>10000</v>
      </c>
      <c r="G14" s="137"/>
      <c r="H14" s="137"/>
      <c r="I14" s="137"/>
      <c r="J14" s="19">
        <f t="shared" si="1"/>
        <v>30000</v>
      </c>
    </row>
    <row r="15" spans="3:15" ht="50.45" customHeight="1">
      <c r="C15" s="139" t="s">
        <v>56</v>
      </c>
      <c r="D15" s="137"/>
      <c r="E15" s="137"/>
      <c r="F15" s="137"/>
      <c r="G15" s="137"/>
      <c r="H15" s="137"/>
      <c r="I15" s="137"/>
      <c r="J15" s="19">
        <f t="shared" si="1"/>
        <v>0</v>
      </c>
    </row>
    <row r="16" spans="3:15" ht="50.45" customHeight="1">
      <c r="C16" s="139" t="s">
        <v>148</v>
      </c>
      <c r="D16" s="137"/>
      <c r="E16" s="137"/>
      <c r="F16" s="137"/>
      <c r="G16" s="137"/>
      <c r="H16" s="137"/>
      <c r="I16" s="137"/>
      <c r="J16" s="19">
        <f t="shared" si="1"/>
        <v>0</v>
      </c>
    </row>
    <row r="17" spans="3:28" ht="50.45" customHeight="1" thickBot="1">
      <c r="C17" s="139" t="s">
        <v>149</v>
      </c>
      <c r="D17" s="137"/>
      <c r="E17" s="137"/>
      <c r="F17" s="137"/>
      <c r="G17" s="137"/>
      <c r="H17" s="137"/>
      <c r="I17" s="137"/>
      <c r="J17" s="19">
        <f t="shared" si="1"/>
        <v>0</v>
      </c>
      <c r="M17" s="24" t="s">
        <v>1</v>
      </c>
      <c r="O17" s="29" t="s">
        <v>53</v>
      </c>
    </row>
    <row r="18" spans="3:28" ht="50.45" customHeight="1" thickTop="1" thickBot="1">
      <c r="C18" s="139" t="s">
        <v>150</v>
      </c>
      <c r="D18" s="137"/>
      <c r="E18" s="137"/>
      <c r="F18" s="137"/>
      <c r="G18" s="137"/>
      <c r="H18" s="137"/>
      <c r="I18" s="137"/>
      <c r="J18" s="19">
        <f t="shared" si="1"/>
        <v>0</v>
      </c>
      <c r="M18" s="20">
        <f>SUM(J11:J18)</f>
        <v>300000</v>
      </c>
      <c r="N18" s="25">
        <f>12/$I$4</f>
        <v>4</v>
      </c>
      <c r="O18" s="30">
        <f>ROUNDDOWN(M18*N18,0)</f>
        <v>1200000</v>
      </c>
      <c r="P18" s="3"/>
    </row>
    <row r="19" spans="3:28" ht="24">
      <c r="O19" s="26"/>
      <c r="P19" s="26" t="s">
        <v>86</v>
      </c>
    </row>
    <row r="26" spans="3:28">
      <c r="AA26" s="9">
        <v>44562</v>
      </c>
      <c r="AB26" t="s">
        <v>111</v>
      </c>
    </row>
    <row r="27" spans="3:28">
      <c r="AA27" s="9">
        <v>44927</v>
      </c>
      <c r="AB27" t="s">
        <v>112</v>
      </c>
    </row>
    <row r="28" spans="3:28">
      <c r="AA28" s="9">
        <v>45292</v>
      </c>
      <c r="AB28" t="s">
        <v>113</v>
      </c>
    </row>
    <row r="29" spans="3:28">
      <c r="AA29" s="9">
        <v>45658</v>
      </c>
      <c r="AB29" t="s">
        <v>168</v>
      </c>
    </row>
    <row r="30" spans="3:28">
      <c r="AA30" s="9">
        <v>46023</v>
      </c>
      <c r="AB30" t="s">
        <v>173</v>
      </c>
    </row>
    <row r="31" spans="3:28">
      <c r="AA31" s="9">
        <v>46388</v>
      </c>
      <c r="AB31" t="s">
        <v>169</v>
      </c>
    </row>
    <row r="32" spans="3:28">
      <c r="AA32" s="9">
        <v>46753</v>
      </c>
      <c r="AB32" t="s">
        <v>170</v>
      </c>
    </row>
    <row r="33" spans="27:28">
      <c r="AA33" s="9">
        <v>47119</v>
      </c>
      <c r="AB33" t="s">
        <v>171</v>
      </c>
    </row>
    <row r="34" spans="27:28">
      <c r="AA34" s="9">
        <v>47484</v>
      </c>
      <c r="AB34" t="s">
        <v>172</v>
      </c>
    </row>
  </sheetData>
  <sheetProtection algorithmName="SHA-512" hashValue="SDrl5XzXhpT84J8BAEdrDDrRa8NY561R4YN002lYdW19AxhKN/ClDdouaKimUU13gGYAF3EFQI72DbNo31cU8Q==" saltValue="idlODnCDZZ6GWlqftaRMmw==" spinCount="100000" sheet="1" objects="1" scenarios="1"/>
  <mergeCells count="4">
    <mergeCell ref="C9:C10"/>
    <mergeCell ref="G4:H4"/>
    <mergeCell ref="K5:O5"/>
    <mergeCell ref="J6:O6"/>
  </mergeCells>
  <phoneticPr fontId="1"/>
  <dataValidations count="1">
    <dataValidation type="list" allowBlank="1" showInputMessage="1" showErrorMessage="1" sqref="I6" xr:uid="{C880C1E2-1FEF-45B0-B8EF-48F77612A06C}">
      <formula1>$AA$26:$AA$34</formula1>
    </dataValidation>
  </dataValidations>
  <printOptions horizontalCentered="1"/>
  <pageMargins left="0.70866141732283472" right="0.70866141732283472" top="0.74803149606299213" bottom="0.74803149606299213"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0804-469E-4396-9F39-4A7D669C8041}">
  <sheetPr codeName="Sheet4">
    <tabColor rgb="FFCCECFF"/>
    <pageSetUpPr fitToPage="1"/>
  </sheetPr>
  <dimension ref="C1:O22"/>
  <sheetViews>
    <sheetView showGridLines="0" view="pageBreakPreview" zoomScaleNormal="100" zoomScaleSheetLayoutView="100" workbookViewId="0">
      <selection activeCell="W26" sqref="W26"/>
    </sheetView>
  </sheetViews>
  <sheetFormatPr defaultRowHeight="18.75"/>
  <cols>
    <col min="2" max="2" width="1.75" customWidth="1"/>
    <col min="3" max="3" width="31.25" customWidth="1"/>
    <col min="4" max="10" width="12.625" customWidth="1"/>
    <col min="12" max="12" width="12.625" customWidth="1"/>
    <col min="14" max="14" width="12.625" customWidth="1"/>
    <col min="15" max="15" width="1.75" customWidth="1"/>
    <col min="17" max="17" width="11.5" customWidth="1"/>
    <col min="19" max="19" width="9.375" bestFit="1" customWidth="1"/>
    <col min="23" max="23" width="9.875" bestFit="1" customWidth="1"/>
  </cols>
  <sheetData>
    <row r="1" spans="3:15" ht="30">
      <c r="C1" s="21" t="s">
        <v>164</v>
      </c>
    </row>
    <row r="2" spans="3:15" ht="12" customHeight="1">
      <c r="C2" s="4"/>
    </row>
    <row r="3" spans="3:15" ht="12" customHeight="1">
      <c r="C3" s="4"/>
    </row>
    <row r="4" spans="3:15" ht="39" customHeight="1">
      <c r="C4" s="152" t="str">
        <f>総表!D6&amp;"："&amp;総表!E6</f>
        <v>生徒氏名：〇〇　〇〇</v>
      </c>
      <c r="D4" s="22"/>
      <c r="E4" s="23"/>
      <c r="F4" s="4"/>
      <c r="G4" s="193" t="s">
        <v>16</v>
      </c>
      <c r="H4" s="194"/>
      <c r="I4" s="156">
        <f>総表!M10</f>
        <v>3</v>
      </c>
      <c r="J4" s="157" t="s">
        <v>5</v>
      </c>
      <c r="K4" s="4"/>
      <c r="L4" s="4"/>
      <c r="M4" s="4"/>
    </row>
    <row r="5" spans="3:15" ht="39" customHeight="1">
      <c r="C5" s="152" t="str">
        <f>総表!H6&amp;"："&amp;総表!I6</f>
        <v>家計急変者氏名：〇〇　〇〇</v>
      </c>
      <c r="D5" s="153" t="s">
        <v>54</v>
      </c>
      <c r="E5" s="154">
        <f>総表!I7</f>
        <v>27395</v>
      </c>
      <c r="F5" s="146" t="s">
        <v>152</v>
      </c>
      <c r="G5" s="154">
        <f>総表!E7</f>
        <v>45636</v>
      </c>
      <c r="H5" s="4"/>
      <c r="I5" s="36"/>
      <c r="J5" s="36"/>
      <c r="K5" s="4"/>
      <c r="L5" s="4"/>
      <c r="M5" s="4"/>
    </row>
    <row r="6" spans="3:15" ht="12" customHeight="1">
      <c r="E6" s="9"/>
    </row>
    <row r="7" spans="3:15" ht="12" customHeight="1">
      <c r="E7" s="9"/>
    </row>
    <row r="8" spans="3:15" ht="24">
      <c r="C8" s="27" t="s">
        <v>87</v>
      </c>
      <c r="J8" s="28" t="s">
        <v>57</v>
      </c>
    </row>
    <row r="9" spans="3:15" ht="25.15" customHeight="1">
      <c r="C9" s="200" t="s">
        <v>4</v>
      </c>
      <c r="D9" s="150">
        <f>総表!M7</f>
        <v>45658</v>
      </c>
      <c r="E9" s="150">
        <f>IF(総表!M10&gt;=2,EDATE(D9,1),"")</f>
        <v>45689</v>
      </c>
      <c r="F9" s="150">
        <f>IF(総表!M10&gt;=3,EDATE(E9,1),"")</f>
        <v>45717</v>
      </c>
      <c r="G9" s="150" t="str">
        <f>IF(総表!M10&gt;=4,EDATE(F9,1),"")</f>
        <v/>
      </c>
      <c r="H9" s="150" t="str">
        <f>IF(総表!M10&gt;=5,EDATE(G9,1),"")</f>
        <v/>
      </c>
      <c r="I9" s="150" t="str">
        <f>IF(総表!M10=6,EDATE(H9,1),"")</f>
        <v/>
      </c>
      <c r="J9" s="119" t="s">
        <v>51</v>
      </c>
    </row>
    <row r="10" spans="3:15" ht="25.15" customHeight="1">
      <c r="C10" s="192"/>
      <c r="D10" s="151">
        <f>D9</f>
        <v>45658</v>
      </c>
      <c r="E10" s="151">
        <f t="shared" ref="E10:I10" si="0">E9</f>
        <v>45689</v>
      </c>
      <c r="F10" s="151">
        <f t="shared" si="0"/>
        <v>45717</v>
      </c>
      <c r="G10" s="151" t="str">
        <f t="shared" si="0"/>
        <v/>
      </c>
      <c r="H10" s="151" t="str">
        <f t="shared" si="0"/>
        <v/>
      </c>
      <c r="I10" s="151" t="str">
        <f t="shared" si="0"/>
        <v/>
      </c>
      <c r="J10" s="120" t="s">
        <v>52</v>
      </c>
      <c r="K10" s="6"/>
      <c r="L10" s="26"/>
    </row>
    <row r="11" spans="3:15" ht="24.75" thickBot="1">
      <c r="C11" s="121" t="s">
        <v>65</v>
      </c>
      <c r="D11" s="122"/>
      <c r="E11" s="122"/>
      <c r="F11" s="122"/>
      <c r="G11" s="122"/>
      <c r="H11" s="122"/>
      <c r="I11" s="122"/>
      <c r="J11" s="122"/>
      <c r="K11" s="5"/>
      <c r="L11" s="31" t="s">
        <v>53</v>
      </c>
      <c r="M11" s="5"/>
    </row>
    <row r="12" spans="3:15" ht="42.6" customHeight="1" thickBot="1">
      <c r="C12" s="80" t="s">
        <v>135</v>
      </c>
      <c r="D12" s="140">
        <v>100000</v>
      </c>
      <c r="E12" s="140">
        <v>-300000</v>
      </c>
      <c r="F12" s="140">
        <v>100000</v>
      </c>
      <c r="G12" s="140"/>
      <c r="H12" s="140"/>
      <c r="I12" s="140"/>
      <c r="J12" s="32">
        <f>SUM(D12:I12)</f>
        <v>-100000</v>
      </c>
      <c r="K12" s="18">
        <f>12/$I$4</f>
        <v>4</v>
      </c>
      <c r="L12" s="34">
        <f>ROUNDDOWN(J12*K12,0)</f>
        <v>-400000</v>
      </c>
      <c r="M12" s="18"/>
      <c r="N12" s="3"/>
      <c r="O12" s="3"/>
    </row>
    <row r="13" spans="3:15" ht="42.6" customHeight="1" thickBot="1">
      <c r="C13" s="80" t="s">
        <v>134</v>
      </c>
      <c r="D13" s="140">
        <v>100000</v>
      </c>
      <c r="E13" s="140">
        <v>100000</v>
      </c>
      <c r="F13" s="140">
        <v>100000</v>
      </c>
      <c r="G13" s="141"/>
      <c r="H13" s="141"/>
      <c r="I13" s="141"/>
      <c r="J13" s="32">
        <f>SUM(D13:I13)</f>
        <v>300000</v>
      </c>
      <c r="K13" s="18">
        <f>12/$I$4</f>
        <v>4</v>
      </c>
      <c r="L13" s="34">
        <f>ROUNDDOWN(J13*K13,0)</f>
        <v>1200000</v>
      </c>
      <c r="M13" s="2"/>
      <c r="N13" s="3"/>
      <c r="O13" s="3"/>
    </row>
    <row r="14" spans="3:15" ht="42.6" customHeight="1" thickBot="1">
      <c r="C14" s="80" t="s">
        <v>136</v>
      </c>
      <c r="D14" s="140"/>
      <c r="E14" s="140"/>
      <c r="F14" s="140"/>
      <c r="G14" s="141"/>
      <c r="H14" s="141"/>
      <c r="I14" s="141"/>
      <c r="J14" s="32">
        <f>SUM(D14:I14)</f>
        <v>0</v>
      </c>
      <c r="K14" s="18">
        <f>12/$I$4</f>
        <v>4</v>
      </c>
      <c r="L14" s="34">
        <f>ROUNDDOWN(J14*K14,0)</f>
        <v>0</v>
      </c>
      <c r="M14" s="18"/>
    </row>
    <row r="15" spans="3:15" ht="42.6" customHeight="1" thickBot="1">
      <c r="C15" s="80" t="s">
        <v>137</v>
      </c>
      <c r="D15" s="140"/>
      <c r="E15" s="140"/>
      <c r="F15" s="140"/>
      <c r="G15" s="140"/>
      <c r="H15" s="140"/>
      <c r="I15" s="140"/>
      <c r="J15" s="32">
        <f>SUM(D15:I15)</f>
        <v>0</v>
      </c>
      <c r="K15" s="18">
        <f>12/$I$4</f>
        <v>4</v>
      </c>
      <c r="L15" s="34">
        <f>ROUNDDOWN(J15*K15,0)</f>
        <v>0</v>
      </c>
      <c r="M15" s="2"/>
      <c r="N15" s="3"/>
      <c r="O15" s="3"/>
    </row>
    <row r="16" spans="3:15" ht="42.6" customHeight="1" thickBot="1">
      <c r="C16" s="80" t="s">
        <v>138</v>
      </c>
      <c r="D16" s="141"/>
      <c r="E16" s="141"/>
      <c r="F16" s="141"/>
      <c r="G16" s="141"/>
      <c r="H16" s="141"/>
      <c r="I16" s="141"/>
      <c r="J16" s="32">
        <f>SUM(D16:I16)</f>
        <v>0</v>
      </c>
      <c r="K16" s="18">
        <f>12/$I$4</f>
        <v>4</v>
      </c>
      <c r="L16" s="34">
        <f>ROUNDDOWN(J16*K16,0)</f>
        <v>0</v>
      </c>
      <c r="M16" s="18"/>
    </row>
    <row r="17" spans="3:15" ht="26.25" thickBot="1">
      <c r="C17" s="123" t="s">
        <v>61</v>
      </c>
      <c r="D17" s="33"/>
      <c r="E17" s="33"/>
      <c r="F17" s="33"/>
      <c r="G17" s="33"/>
      <c r="H17" s="33"/>
      <c r="I17" s="33"/>
      <c r="J17" s="33"/>
      <c r="K17" s="5"/>
      <c r="L17" s="31"/>
      <c r="M17" s="5"/>
    </row>
    <row r="18" spans="3:15" ht="42.6" customHeight="1" thickBot="1">
      <c r="C18" s="80" t="s">
        <v>139</v>
      </c>
      <c r="D18" s="140">
        <v>50000</v>
      </c>
      <c r="E18" s="140"/>
      <c r="F18" s="140"/>
      <c r="G18" s="140"/>
      <c r="H18" s="140"/>
      <c r="I18" s="140"/>
      <c r="J18" s="32">
        <f>SUM(D18:I18)</f>
        <v>50000</v>
      </c>
      <c r="K18" s="2"/>
      <c r="L18" s="34">
        <f>J18</f>
        <v>50000</v>
      </c>
      <c r="M18" s="2"/>
      <c r="N18" s="3"/>
      <c r="O18" s="3"/>
    </row>
    <row r="19" spans="3:15" ht="42.6" customHeight="1" thickBot="1">
      <c r="C19" s="80" t="s">
        <v>140</v>
      </c>
      <c r="D19" s="140"/>
      <c r="E19" s="140"/>
      <c r="F19" s="140">
        <v>100000</v>
      </c>
      <c r="G19" s="140"/>
      <c r="H19" s="140"/>
      <c r="I19" s="140"/>
      <c r="J19" s="32">
        <f>SUM(D19:I19)</f>
        <v>100000</v>
      </c>
      <c r="K19" s="2"/>
      <c r="L19" s="34">
        <f>J19</f>
        <v>100000</v>
      </c>
      <c r="M19" s="37"/>
      <c r="N19" s="38" t="s">
        <v>60</v>
      </c>
      <c r="O19" s="3"/>
    </row>
    <row r="20" spans="3:15" ht="42.6" customHeight="1" thickBot="1">
      <c r="C20" s="80" t="s">
        <v>141</v>
      </c>
      <c r="D20" s="141"/>
      <c r="E20" s="140"/>
      <c r="F20" s="140"/>
      <c r="G20" s="141"/>
      <c r="H20" s="141"/>
      <c r="I20" s="141"/>
      <c r="J20" s="32">
        <f>SUM(D20:I20)</f>
        <v>0</v>
      </c>
      <c r="K20" s="2"/>
      <c r="L20" s="34">
        <f>J20</f>
        <v>0</v>
      </c>
      <c r="M20" s="18"/>
      <c r="N20" s="31" t="s">
        <v>53</v>
      </c>
    </row>
    <row r="21" spans="3:15" ht="42.6" customHeight="1" thickTop="1" thickBot="1">
      <c r="C21" s="80" t="s">
        <v>142</v>
      </c>
      <c r="D21" s="140"/>
      <c r="E21" s="140">
        <v>10000</v>
      </c>
      <c r="F21" s="140"/>
      <c r="G21" s="140"/>
      <c r="H21" s="140"/>
      <c r="I21" s="140"/>
      <c r="J21" s="32">
        <f>SUM(D21:I21)</f>
        <v>10000</v>
      </c>
      <c r="K21" s="2"/>
      <c r="L21" s="34">
        <f>J21</f>
        <v>10000</v>
      </c>
      <c r="M21" s="2"/>
      <c r="N21" s="35">
        <f>MAX(SUM(L12:L16,L18:L21),0)</f>
        <v>960000</v>
      </c>
      <c r="O21" s="3"/>
    </row>
    <row r="22" spans="3:15" ht="24">
      <c r="O22" s="26" t="s">
        <v>86</v>
      </c>
    </row>
  </sheetData>
  <sheetProtection algorithmName="SHA-512" hashValue="CwBJsUf9s31/zf9phHAqF3B9eOlsnxec7TkxEPK2GZBTDSHL+YHGooDMKQzyPx8nAueOy3rn8a8y/e14DSBqrw==" saltValue="1C7f5VIFWmjTgCihPK7J6g==" spinCount="100000" sheet="1" objects="1" scenarios="1"/>
  <mergeCells count="2">
    <mergeCell ref="G4:H4"/>
    <mergeCell ref="C9:C10"/>
  </mergeCells>
  <phoneticPr fontId="1"/>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30CA-E785-4330-BFE3-71548118C3DD}">
  <sheetPr codeName="Sheet5">
    <tabColor rgb="FFCCECFF"/>
    <pageSetUpPr fitToPage="1"/>
  </sheetPr>
  <dimension ref="C1:O20"/>
  <sheetViews>
    <sheetView showGridLines="0" view="pageBreakPreview" zoomScaleNormal="100" zoomScaleSheetLayoutView="100" workbookViewId="0">
      <selection activeCell="W26" sqref="W26"/>
    </sheetView>
  </sheetViews>
  <sheetFormatPr defaultColWidth="8.75" defaultRowHeight="18.75"/>
  <cols>
    <col min="1" max="1" width="8.75" style="67"/>
    <col min="2" max="2" width="1.75" style="67" customWidth="1"/>
    <col min="3" max="3" width="31.25" style="67" customWidth="1"/>
    <col min="4" max="4" width="13.875" style="67" customWidth="1"/>
    <col min="5" max="5" width="11.25" style="67" customWidth="1"/>
    <col min="6" max="6" width="13.875" style="67" customWidth="1"/>
    <col min="7" max="7" width="11.25" style="67" customWidth="1"/>
    <col min="8" max="8" width="13.875" style="67" customWidth="1"/>
    <col min="9" max="9" width="11.25" style="67" customWidth="1"/>
    <col min="10" max="10" width="12.625" style="67" customWidth="1"/>
    <col min="11" max="11" width="8.75" style="67"/>
    <col min="12" max="12" width="12.625" style="67" customWidth="1"/>
    <col min="13" max="13" width="8.75" style="67"/>
    <col min="14" max="14" width="12.625" style="67" customWidth="1"/>
    <col min="15" max="15" width="1.75" style="67" customWidth="1"/>
    <col min="16" max="16" width="8.75" style="67"/>
    <col min="17" max="17" width="11.5" style="67" customWidth="1"/>
    <col min="18" max="18" width="8.75" style="67"/>
    <col min="19" max="19" width="9.375" style="67" bestFit="1" customWidth="1"/>
    <col min="20" max="22" width="8.75" style="67"/>
    <col min="23" max="23" width="9.875" style="67" bestFit="1" customWidth="1"/>
    <col min="24" max="16384" width="8.75" style="67"/>
  </cols>
  <sheetData>
    <row r="1" spans="3:15" ht="66" customHeight="1">
      <c r="C1" s="66" t="s">
        <v>165</v>
      </c>
    </row>
    <row r="2" spans="3:15" ht="30">
      <c r="C2" s="66" t="s">
        <v>155</v>
      </c>
    </row>
    <row r="3" spans="3:15" ht="72" customHeight="1">
      <c r="C3" s="201" t="s">
        <v>156</v>
      </c>
      <c r="D3" s="201"/>
      <c r="E3" s="201"/>
      <c r="F3" s="201"/>
      <c r="G3" s="201"/>
      <c r="H3" s="201"/>
      <c r="I3" s="201"/>
      <c r="J3" s="201"/>
      <c r="K3" s="201"/>
      <c r="L3" s="201"/>
      <c r="M3" s="201"/>
      <c r="N3" s="201"/>
    </row>
    <row r="4" spans="3:15" ht="12" customHeight="1">
      <c r="C4" s="68"/>
    </row>
    <row r="5" spans="3:15" ht="12" customHeight="1">
      <c r="C5" s="68"/>
    </row>
    <row r="6" spans="3:15" ht="39" customHeight="1">
      <c r="C6" s="145" t="str">
        <f>総表!D6&amp;"："&amp;総表!E6</f>
        <v>生徒氏名：〇〇　〇〇</v>
      </c>
      <c r="D6" s="69"/>
      <c r="E6" s="70"/>
      <c r="F6" s="68"/>
      <c r="G6" s="186" t="s">
        <v>16</v>
      </c>
      <c r="H6" s="187"/>
      <c r="I6" s="148">
        <f>総表!M10</f>
        <v>3</v>
      </c>
      <c r="J6" s="149" t="s">
        <v>5</v>
      </c>
      <c r="K6" s="68"/>
      <c r="L6" s="80" t="s">
        <v>71</v>
      </c>
      <c r="M6" s="208" t="s">
        <v>144</v>
      </c>
      <c r="N6" s="209"/>
    </row>
    <row r="7" spans="3:15" ht="11.45" customHeight="1">
      <c r="C7" s="72"/>
      <c r="D7" s="73"/>
      <c r="E7" s="74"/>
      <c r="F7" s="68"/>
      <c r="G7" s="71"/>
      <c r="H7" s="71"/>
      <c r="I7" s="75"/>
      <c r="J7" s="75"/>
      <c r="K7" s="68"/>
      <c r="L7" s="68"/>
      <c r="M7" s="68"/>
    </row>
    <row r="8" spans="3:15" ht="39" customHeight="1">
      <c r="C8" s="145" t="str">
        <f>総表!H6&amp;"："&amp;総表!I6</f>
        <v>家計急変者氏名：〇〇　〇〇</v>
      </c>
      <c r="D8" s="146" t="s">
        <v>54</v>
      </c>
      <c r="E8" s="147">
        <f>総表!I7</f>
        <v>27395</v>
      </c>
      <c r="F8" s="146" t="s">
        <v>152</v>
      </c>
      <c r="G8" s="147">
        <f>総表!E7</f>
        <v>45636</v>
      </c>
      <c r="H8" s="81" t="s">
        <v>63</v>
      </c>
      <c r="I8" s="202"/>
      <c r="J8" s="202"/>
      <c r="K8" s="202"/>
      <c r="L8" s="202"/>
      <c r="M8" s="202"/>
      <c r="N8" s="203"/>
    </row>
    <row r="9" spans="3:15" ht="12" customHeight="1">
      <c r="E9" s="76"/>
    </row>
    <row r="10" spans="3:15" ht="12" customHeight="1">
      <c r="E10" s="76"/>
    </row>
    <row r="11" spans="3:15" ht="24">
      <c r="C11" s="68"/>
      <c r="I11" s="77"/>
      <c r="J11" s="77"/>
    </row>
    <row r="12" spans="3:15" ht="25.15" customHeight="1">
      <c r="C12" s="218" t="s">
        <v>4</v>
      </c>
      <c r="D12" s="214" t="s">
        <v>157</v>
      </c>
      <c r="E12" s="211"/>
      <c r="F12" s="210" t="s">
        <v>62</v>
      </c>
      <c r="G12" s="211"/>
      <c r="H12" s="214" t="s">
        <v>158</v>
      </c>
      <c r="I12" s="215"/>
      <c r="J12" s="82"/>
      <c r="K12" s="78"/>
      <c r="L12" s="78"/>
      <c r="M12" s="78"/>
      <c r="N12" s="78"/>
    </row>
    <row r="13" spans="3:15" ht="25.15" customHeight="1">
      <c r="C13" s="219"/>
      <c r="D13" s="212"/>
      <c r="E13" s="213"/>
      <c r="F13" s="212"/>
      <c r="G13" s="213"/>
      <c r="H13" s="216"/>
      <c r="I13" s="217"/>
      <c r="J13" s="82"/>
      <c r="K13" s="78"/>
      <c r="L13" s="78"/>
      <c r="M13" s="78"/>
      <c r="N13" s="78"/>
    </row>
    <row r="14" spans="3:15" ht="42.6" customHeight="1">
      <c r="C14" s="159">
        <f>総表!M7</f>
        <v>45658</v>
      </c>
      <c r="D14" s="206">
        <v>500000</v>
      </c>
      <c r="E14" s="207"/>
      <c r="F14" s="206">
        <v>400000</v>
      </c>
      <c r="G14" s="207"/>
      <c r="H14" s="204">
        <f t="shared" ref="H14:H19" si="0">D14-F14</f>
        <v>100000</v>
      </c>
      <c r="I14" s="205"/>
      <c r="J14" s="82"/>
      <c r="K14" s="78"/>
      <c r="L14" s="78"/>
      <c r="M14" s="78"/>
      <c r="N14" s="78"/>
      <c r="O14" s="79"/>
    </row>
    <row r="15" spans="3:15" ht="42.6" customHeight="1">
      <c r="C15" s="159">
        <f>IF(総表!$M$10&gt;=2,EDATE(C14,1),"")</f>
        <v>45689</v>
      </c>
      <c r="D15" s="206">
        <v>300000</v>
      </c>
      <c r="E15" s="207"/>
      <c r="F15" s="206">
        <v>600000</v>
      </c>
      <c r="G15" s="207"/>
      <c r="H15" s="204">
        <f t="shared" si="0"/>
        <v>-300000</v>
      </c>
      <c r="I15" s="205"/>
      <c r="J15" s="82"/>
      <c r="K15" s="78"/>
      <c r="L15" s="78"/>
      <c r="M15" s="78"/>
      <c r="N15" s="78"/>
      <c r="O15" s="79"/>
    </row>
    <row r="16" spans="3:15" ht="42.6" customHeight="1">
      <c r="C16" s="159">
        <f>IF(総表!$M$10&gt;=3,EDATE(C15,1),"")</f>
        <v>45717</v>
      </c>
      <c r="D16" s="206">
        <v>400000</v>
      </c>
      <c r="E16" s="207"/>
      <c r="F16" s="206">
        <v>300000</v>
      </c>
      <c r="G16" s="207"/>
      <c r="H16" s="204">
        <f t="shared" si="0"/>
        <v>100000</v>
      </c>
      <c r="I16" s="205"/>
      <c r="J16" s="82"/>
      <c r="K16" s="78"/>
      <c r="L16" s="78"/>
      <c r="M16" s="78"/>
      <c r="N16" s="78"/>
    </row>
    <row r="17" spans="3:15" ht="42.6" customHeight="1">
      <c r="C17" s="159" t="str">
        <f>IF(総表!$M$10&gt;=4,EDATE(C16,1),"")</f>
        <v/>
      </c>
      <c r="D17" s="206"/>
      <c r="E17" s="207"/>
      <c r="F17" s="206"/>
      <c r="G17" s="207"/>
      <c r="H17" s="204">
        <f t="shared" si="0"/>
        <v>0</v>
      </c>
      <c r="I17" s="205"/>
      <c r="J17" s="82"/>
      <c r="K17" s="78"/>
      <c r="L17" s="78"/>
      <c r="M17" s="78"/>
      <c r="N17" s="78"/>
      <c r="O17" s="79"/>
    </row>
    <row r="18" spans="3:15" ht="42.6" customHeight="1">
      <c r="C18" s="159" t="str">
        <f>IF(総表!$M$10&gt;=5,EDATE(C17,1),"")</f>
        <v/>
      </c>
      <c r="D18" s="206"/>
      <c r="E18" s="207"/>
      <c r="F18" s="206"/>
      <c r="G18" s="207"/>
      <c r="H18" s="204">
        <f t="shared" si="0"/>
        <v>0</v>
      </c>
      <c r="I18" s="205"/>
      <c r="J18" s="82"/>
      <c r="K18" s="78"/>
      <c r="L18" s="78"/>
      <c r="M18" s="78"/>
      <c r="N18" s="78"/>
    </row>
    <row r="19" spans="3:15" ht="42.6" customHeight="1">
      <c r="C19" s="159" t="str">
        <f>IF(総表!$M$10=6,EDATE(C18,1),"")</f>
        <v/>
      </c>
      <c r="D19" s="206"/>
      <c r="E19" s="207"/>
      <c r="F19" s="206"/>
      <c r="G19" s="207"/>
      <c r="H19" s="204">
        <f t="shared" si="0"/>
        <v>0</v>
      </c>
      <c r="I19" s="205"/>
      <c r="J19" s="82"/>
      <c r="K19" s="78"/>
      <c r="L19" s="78"/>
      <c r="M19" s="78"/>
      <c r="N19" s="78"/>
      <c r="O19" s="79"/>
    </row>
    <row r="20" spans="3:15" ht="5.45" customHeight="1"/>
  </sheetData>
  <sheetProtection algorithmName="SHA-512" hashValue="sNbLt3fUa8njiYsHer30prAbjYIYO2UOAXpd0tEg2sA6lVf0g6DH6qxCYaBHI7YW8d4SYmM3/eSarIavV5rGqQ==" saltValue="Gyc5hmtjCMuJZUKVXDN8YA==" spinCount="100000" sheet="1" objects="1" scenarios="1"/>
  <mergeCells count="26">
    <mergeCell ref="D17:E17"/>
    <mergeCell ref="D18:E18"/>
    <mergeCell ref="D19:E19"/>
    <mergeCell ref="G6:H6"/>
    <mergeCell ref="C12:C13"/>
    <mergeCell ref="D12:E13"/>
    <mergeCell ref="H17:I17"/>
    <mergeCell ref="H18:I18"/>
    <mergeCell ref="H19:I19"/>
    <mergeCell ref="F17:G17"/>
    <mergeCell ref="F18:G18"/>
    <mergeCell ref="F19:G19"/>
    <mergeCell ref="C3:N3"/>
    <mergeCell ref="I8:N8"/>
    <mergeCell ref="H14:I14"/>
    <mergeCell ref="H15:I15"/>
    <mergeCell ref="H16:I16"/>
    <mergeCell ref="D14:E14"/>
    <mergeCell ref="D15:E15"/>
    <mergeCell ref="D16:E16"/>
    <mergeCell ref="M6:N6"/>
    <mergeCell ref="F12:G13"/>
    <mergeCell ref="H12:I13"/>
    <mergeCell ref="F14:G14"/>
    <mergeCell ref="F15:G15"/>
    <mergeCell ref="F16:G16"/>
  </mergeCells>
  <phoneticPr fontId="1"/>
  <dataValidations count="1">
    <dataValidation type="list" allowBlank="1" showInputMessage="1" showErrorMessage="1" sqref="M6:N6" xr:uid="{5AE6028A-12FD-47B6-865D-F82414616A43}">
      <formula1>"①事業所得,②不動産所得,③利子所得,④配当所得,⑤業務に係る雑所得"</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9086-3683-4836-A209-B27D1F75DF0B}">
  <sheetPr codeName="Sheet6">
    <tabColor rgb="FFCCECFF"/>
    <pageSetUpPr fitToPage="1"/>
  </sheetPr>
  <dimension ref="C1:O21"/>
  <sheetViews>
    <sheetView showGridLines="0" view="pageBreakPreview" zoomScaleNormal="100" zoomScaleSheetLayoutView="100" workbookViewId="0">
      <selection activeCell="W26" sqref="W26"/>
    </sheetView>
  </sheetViews>
  <sheetFormatPr defaultColWidth="8.75" defaultRowHeight="18.75"/>
  <cols>
    <col min="1" max="1" width="8.75" style="67"/>
    <col min="2" max="2" width="1.75" style="67" customWidth="1"/>
    <col min="3" max="3" width="31.25" style="67" customWidth="1"/>
    <col min="4" max="4" width="13.875" style="67" customWidth="1"/>
    <col min="5" max="5" width="11.25" style="67" customWidth="1"/>
    <col min="6" max="6" width="13.875" style="67" customWidth="1"/>
    <col min="7" max="7" width="11.25" style="67" customWidth="1"/>
    <col min="8" max="10" width="12.625" style="67" customWidth="1"/>
    <col min="11" max="11" width="8.75" style="67"/>
    <col min="12" max="12" width="12.625" style="67" customWidth="1"/>
    <col min="13" max="13" width="8.75" style="67"/>
    <col min="14" max="14" width="12.625" style="67" customWidth="1"/>
    <col min="15" max="15" width="1.75" style="67" customWidth="1"/>
    <col min="16" max="16" width="8.75" style="67"/>
    <col min="17" max="17" width="11.5" style="67" customWidth="1"/>
    <col min="18" max="18" width="8.75" style="67"/>
    <col min="19" max="19" width="9.375" style="67" bestFit="1" customWidth="1"/>
    <col min="20" max="22" width="8.75" style="67"/>
    <col min="23" max="23" width="9.875" style="67" bestFit="1" customWidth="1"/>
    <col min="24" max="16384" width="8.75" style="67"/>
  </cols>
  <sheetData>
    <row r="1" spans="3:15" ht="66.599999999999994" customHeight="1">
      <c r="C1" s="66" t="s">
        <v>166</v>
      </c>
    </row>
    <row r="2" spans="3:15" ht="30">
      <c r="C2" s="66" t="s">
        <v>151</v>
      </c>
    </row>
    <row r="3" spans="3:15" ht="56.45" customHeight="1">
      <c r="C3" s="201" t="s">
        <v>145</v>
      </c>
      <c r="D3" s="201"/>
      <c r="E3" s="201"/>
      <c r="F3" s="201"/>
      <c r="G3" s="201"/>
      <c r="H3" s="201"/>
      <c r="I3" s="201"/>
      <c r="J3" s="201"/>
      <c r="K3" s="201"/>
      <c r="L3" s="201"/>
      <c r="M3" s="201"/>
      <c r="N3" s="201"/>
    </row>
    <row r="4" spans="3:15" ht="12" customHeight="1">
      <c r="C4" s="68"/>
    </row>
    <row r="5" spans="3:15" ht="12" customHeight="1">
      <c r="C5" s="68"/>
    </row>
    <row r="6" spans="3:15" ht="39" customHeight="1">
      <c r="C6" s="145" t="str">
        <f>総表!D6&amp;"："&amp;総表!E6</f>
        <v>生徒氏名：〇〇　〇〇</v>
      </c>
      <c r="D6" s="69"/>
      <c r="E6" s="70"/>
      <c r="F6" s="68"/>
      <c r="G6" s="186" t="s">
        <v>16</v>
      </c>
      <c r="H6" s="187"/>
      <c r="I6" s="148">
        <f>総表!M10</f>
        <v>3</v>
      </c>
      <c r="J6" s="149" t="s">
        <v>5</v>
      </c>
      <c r="K6" s="68"/>
      <c r="L6" s="68"/>
      <c r="M6" s="68"/>
    </row>
    <row r="7" spans="3:15" ht="11.45" customHeight="1">
      <c r="C7" s="72"/>
      <c r="D7" s="73"/>
      <c r="E7" s="74"/>
      <c r="F7" s="68"/>
      <c r="G7" s="71"/>
      <c r="H7" s="71"/>
      <c r="I7" s="75"/>
      <c r="J7" s="75"/>
      <c r="K7" s="68"/>
      <c r="L7" s="68"/>
      <c r="M7" s="68"/>
    </row>
    <row r="8" spans="3:15" ht="39" customHeight="1">
      <c r="C8" s="145" t="str">
        <f>総表!H6&amp;"："&amp;総表!I6</f>
        <v>家計急変者氏名：〇〇　〇〇</v>
      </c>
      <c r="D8" s="146" t="s">
        <v>54</v>
      </c>
      <c r="E8" s="147">
        <f>総表!I7</f>
        <v>27395</v>
      </c>
      <c r="F8" s="146" t="s">
        <v>152</v>
      </c>
      <c r="G8" s="147">
        <f>総表!E7</f>
        <v>45636</v>
      </c>
      <c r="H8" s="69"/>
      <c r="I8" s="68"/>
      <c r="J8" s="68"/>
      <c r="K8" s="68"/>
      <c r="L8" s="68"/>
      <c r="M8" s="68"/>
      <c r="N8" s="68"/>
    </row>
    <row r="9" spans="3:15" ht="10.15" customHeight="1">
      <c r="E9" s="76"/>
    </row>
    <row r="10" spans="3:15" ht="10.15" customHeight="1">
      <c r="E10" s="76"/>
    </row>
    <row r="11" spans="3:15" ht="10.15" customHeight="1">
      <c r="C11" s="68"/>
      <c r="I11" s="77"/>
      <c r="J11" s="77"/>
    </row>
    <row r="12" spans="3:15" ht="25.15" customHeight="1">
      <c r="C12" s="220" t="s">
        <v>66</v>
      </c>
      <c r="D12" s="214" t="s">
        <v>153</v>
      </c>
      <c r="E12" s="211"/>
      <c r="F12" s="214" t="s">
        <v>167</v>
      </c>
      <c r="G12" s="211"/>
      <c r="H12" s="221" t="s">
        <v>154</v>
      </c>
      <c r="I12" s="222"/>
      <c r="J12" s="225" t="s">
        <v>67</v>
      </c>
      <c r="K12" s="78"/>
      <c r="L12" s="78"/>
      <c r="M12" s="78"/>
      <c r="N12" s="78"/>
    </row>
    <row r="13" spans="3:15" ht="25.15" customHeight="1">
      <c r="C13" s="219"/>
      <c r="D13" s="212"/>
      <c r="E13" s="213"/>
      <c r="F13" s="212"/>
      <c r="G13" s="213"/>
      <c r="H13" s="223"/>
      <c r="I13" s="224"/>
      <c r="J13" s="225"/>
      <c r="K13" s="78"/>
      <c r="L13" s="78"/>
      <c r="M13" s="78"/>
      <c r="N13" s="78"/>
    </row>
    <row r="14" spans="3:15" ht="42.6" customHeight="1">
      <c r="C14" s="142" t="s">
        <v>68</v>
      </c>
      <c r="D14" s="206">
        <v>50000</v>
      </c>
      <c r="E14" s="207"/>
      <c r="F14" s="206"/>
      <c r="G14" s="207"/>
      <c r="H14" s="204">
        <f>D14-F14</f>
        <v>50000</v>
      </c>
      <c r="I14" s="205"/>
      <c r="J14" s="143">
        <v>45672</v>
      </c>
      <c r="K14" s="78"/>
      <c r="L14" s="78"/>
      <c r="M14" s="78"/>
      <c r="N14" s="78"/>
      <c r="O14" s="79"/>
    </row>
    <row r="15" spans="3:15" ht="42.6" customHeight="1">
      <c r="C15" s="142" t="s">
        <v>69</v>
      </c>
      <c r="D15" s="206">
        <v>10000</v>
      </c>
      <c r="E15" s="207"/>
      <c r="F15" s="206"/>
      <c r="G15" s="207"/>
      <c r="H15" s="204">
        <f t="shared" ref="H15:H21" si="0">D15-F15</f>
        <v>10000</v>
      </c>
      <c r="I15" s="205"/>
      <c r="J15" s="143">
        <v>45698</v>
      </c>
      <c r="K15" s="78"/>
      <c r="L15" s="78"/>
      <c r="M15" s="78"/>
      <c r="N15" s="78"/>
      <c r="O15" s="79"/>
    </row>
    <row r="16" spans="3:15" ht="42.6" customHeight="1">
      <c r="C16" s="142" t="s">
        <v>70</v>
      </c>
      <c r="D16" s="206">
        <v>100000</v>
      </c>
      <c r="E16" s="207"/>
      <c r="F16" s="206"/>
      <c r="G16" s="207"/>
      <c r="H16" s="204">
        <f t="shared" si="0"/>
        <v>100000</v>
      </c>
      <c r="I16" s="205"/>
      <c r="J16" s="143">
        <v>45736</v>
      </c>
      <c r="K16" s="78"/>
      <c r="L16" s="78"/>
      <c r="M16" s="78"/>
      <c r="N16" s="78"/>
    </row>
    <row r="17" spans="3:15" ht="42.6" customHeight="1">
      <c r="C17" s="142"/>
      <c r="D17" s="206"/>
      <c r="E17" s="207"/>
      <c r="F17" s="206"/>
      <c r="G17" s="207"/>
      <c r="H17" s="204">
        <f t="shared" si="0"/>
        <v>0</v>
      </c>
      <c r="I17" s="205"/>
      <c r="J17" s="143"/>
      <c r="K17" s="78"/>
      <c r="L17" s="78"/>
      <c r="M17" s="78"/>
      <c r="N17" s="78"/>
      <c r="O17" s="79"/>
    </row>
    <row r="18" spans="3:15" ht="42.6" customHeight="1">
      <c r="C18" s="142"/>
      <c r="D18" s="206"/>
      <c r="E18" s="207"/>
      <c r="F18" s="206"/>
      <c r="G18" s="207"/>
      <c r="H18" s="204">
        <f t="shared" si="0"/>
        <v>0</v>
      </c>
      <c r="I18" s="205"/>
      <c r="J18" s="143"/>
      <c r="K18" s="78"/>
      <c r="L18" s="78"/>
      <c r="M18" s="78"/>
      <c r="N18" s="78"/>
      <c r="O18" s="79"/>
    </row>
    <row r="19" spans="3:15" ht="42.6" customHeight="1">
      <c r="C19" s="142"/>
      <c r="D19" s="206"/>
      <c r="E19" s="207"/>
      <c r="F19" s="206"/>
      <c r="G19" s="207"/>
      <c r="H19" s="204">
        <f t="shared" si="0"/>
        <v>0</v>
      </c>
      <c r="I19" s="205"/>
      <c r="J19" s="143"/>
      <c r="K19" s="78"/>
      <c r="L19" s="78"/>
      <c r="M19" s="78"/>
      <c r="N19" s="78"/>
      <c r="O19" s="79"/>
    </row>
    <row r="20" spans="3:15" ht="42.6" customHeight="1">
      <c r="C20" s="142"/>
      <c r="D20" s="206"/>
      <c r="E20" s="207"/>
      <c r="F20" s="206"/>
      <c r="G20" s="207"/>
      <c r="H20" s="204">
        <f t="shared" si="0"/>
        <v>0</v>
      </c>
      <c r="I20" s="205"/>
      <c r="J20" s="143"/>
      <c r="K20" s="78"/>
      <c r="L20" s="78"/>
      <c r="M20" s="78"/>
      <c r="N20" s="78"/>
    </row>
    <row r="21" spans="3:15" ht="42.6" customHeight="1">
      <c r="C21" s="142"/>
      <c r="D21" s="206"/>
      <c r="E21" s="207"/>
      <c r="F21" s="206"/>
      <c r="G21" s="207"/>
      <c r="H21" s="204">
        <f t="shared" si="0"/>
        <v>0</v>
      </c>
      <c r="I21" s="205"/>
      <c r="J21" s="143"/>
      <c r="K21" s="78"/>
      <c r="L21" s="78"/>
      <c r="M21" s="78"/>
      <c r="N21" s="78"/>
      <c r="O21" s="79"/>
    </row>
  </sheetData>
  <sheetProtection algorithmName="SHA-512" hashValue="rMdByXS2a2O+QNhRpT7FRSckFqoQlMUdvqQwPHNVLJeFX/2X+Tgl5AeIIiJ/fx0FOtWplJWfmfzwpjwmOhcLEw==" saltValue="IJwBvkS3QCIOUik2xDPezQ==" spinCount="100000" sheet="1" objects="1" scenarios="1"/>
  <mergeCells count="31">
    <mergeCell ref="C3:N3"/>
    <mergeCell ref="G6:H6"/>
    <mergeCell ref="C12:C13"/>
    <mergeCell ref="D12:E13"/>
    <mergeCell ref="F12:G13"/>
    <mergeCell ref="H12:I13"/>
    <mergeCell ref="J12:J13"/>
    <mergeCell ref="D14:E14"/>
    <mergeCell ref="F14:G14"/>
    <mergeCell ref="H14:I14"/>
    <mergeCell ref="D15:E15"/>
    <mergeCell ref="F15:G15"/>
    <mergeCell ref="H15:I15"/>
    <mergeCell ref="D16:E16"/>
    <mergeCell ref="F16:G16"/>
    <mergeCell ref="H16:I16"/>
    <mergeCell ref="D19:E19"/>
    <mergeCell ref="F19:G19"/>
    <mergeCell ref="H19:I19"/>
    <mergeCell ref="D17:E17"/>
    <mergeCell ref="F17:G17"/>
    <mergeCell ref="H17:I17"/>
    <mergeCell ref="D18:E18"/>
    <mergeCell ref="F18:G18"/>
    <mergeCell ref="H18:I18"/>
    <mergeCell ref="D20:E20"/>
    <mergeCell ref="F20:G20"/>
    <mergeCell ref="H20:I20"/>
    <mergeCell ref="D21:E21"/>
    <mergeCell ref="F21:G21"/>
    <mergeCell ref="H21:I21"/>
  </mergeCells>
  <phoneticPr fontId="1"/>
  <printOptions horizontalCentered="1"/>
  <pageMargins left="0.70866141732283472" right="0.70866141732283472" top="0.74803149606299213" bottom="0.74803149606299213" header="0.31496062992125984" footer="0.31496062992125984"/>
  <pageSetup paperSize="9" scale="72" orientation="landscape" cellComments="asDisplayed"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06C1-0431-44B4-BDF3-8DE2739DA2C9}">
  <sheetPr codeName="Sheet7">
    <tabColor rgb="FFCCECFF"/>
  </sheetPr>
  <dimension ref="A1:AH120"/>
  <sheetViews>
    <sheetView view="pageBreakPreview" zoomScale="115" zoomScaleNormal="85" zoomScaleSheetLayoutView="115" workbookViewId="0"/>
  </sheetViews>
  <sheetFormatPr defaultRowHeight="18.75" outlineLevelCol="1"/>
  <cols>
    <col min="1" max="1" width="10.125" customWidth="1"/>
    <col min="2" max="2" width="3.75" customWidth="1"/>
    <col min="3" max="3" width="10.125" customWidth="1"/>
    <col min="4" max="5" width="8.75" customWidth="1"/>
    <col min="6" max="7" width="11.125" customWidth="1"/>
    <col min="8" max="8" width="2.75" customWidth="1"/>
    <col min="9" max="9" width="38.75" hidden="1" customWidth="1" outlineLevel="1"/>
    <col min="10" max="12" width="14.375" hidden="1" customWidth="1" outlineLevel="1"/>
    <col min="13" max="13" width="0" hidden="1" customWidth="1" outlineLevel="1"/>
    <col min="14" max="14" width="10.25" customWidth="1" collapsed="1"/>
    <col min="15" max="15" width="3.75" style="2" customWidth="1"/>
    <col min="16" max="16" width="10.25" customWidth="1"/>
    <col min="18" max="20" width="10.75" customWidth="1"/>
    <col min="22" max="24" width="10.75" customWidth="1"/>
    <col min="26" max="28" width="10.75" customWidth="1"/>
    <col min="29" max="29" width="18.25" customWidth="1"/>
    <col min="30" max="31" width="16.75" customWidth="1"/>
    <col min="32" max="33" width="9.75" customWidth="1"/>
  </cols>
  <sheetData>
    <row r="1" spans="1:34">
      <c r="I1" s="59" t="s">
        <v>115</v>
      </c>
      <c r="J1" s="59" t="s">
        <v>115</v>
      </c>
      <c r="K1" s="59" t="s">
        <v>115</v>
      </c>
      <c r="L1" s="59" t="s">
        <v>115</v>
      </c>
      <c r="M1" s="59" t="s">
        <v>115</v>
      </c>
    </row>
    <row r="3" spans="1:34">
      <c r="A3" s="7" t="s">
        <v>118</v>
      </c>
      <c r="B3" s="7"/>
      <c r="C3" s="7"/>
      <c r="D3" s="2"/>
      <c r="E3" s="2"/>
      <c r="F3" s="7"/>
      <c r="G3" s="7"/>
      <c r="J3" t="s">
        <v>88</v>
      </c>
      <c r="K3" t="s">
        <v>89</v>
      </c>
      <c r="N3" s="7" t="s">
        <v>8</v>
      </c>
      <c r="O3" s="16"/>
      <c r="P3" s="7"/>
      <c r="R3" s="7"/>
      <c r="S3" s="7"/>
      <c r="V3" s="7"/>
      <c r="W3" s="7"/>
      <c r="Z3" s="7"/>
      <c r="AA3" s="7"/>
      <c r="AD3" s="7" t="s">
        <v>13</v>
      </c>
      <c r="AF3" s="7"/>
      <c r="AG3" s="7"/>
    </row>
    <row r="4" spans="1:34">
      <c r="A4" s="226" t="s">
        <v>93</v>
      </c>
      <c r="B4" s="226"/>
      <c r="C4" s="226"/>
      <c r="D4" s="47" t="s">
        <v>9</v>
      </c>
      <c r="E4" s="47" t="s">
        <v>10</v>
      </c>
      <c r="F4" s="42" t="s">
        <v>100</v>
      </c>
      <c r="G4" s="42" t="s">
        <v>98</v>
      </c>
      <c r="I4" s="49" t="s">
        <v>19</v>
      </c>
      <c r="J4" s="49" t="s">
        <v>18</v>
      </c>
      <c r="K4" s="49" t="s">
        <v>18</v>
      </c>
      <c r="N4" s="7" t="s">
        <v>129</v>
      </c>
      <c r="O4" s="16"/>
      <c r="P4" s="7"/>
      <c r="R4" s="7"/>
      <c r="S4" s="7"/>
      <c r="U4" t="s">
        <v>127</v>
      </c>
      <c r="V4" s="7"/>
      <c r="W4" s="7"/>
      <c r="Y4" t="s">
        <v>128</v>
      </c>
      <c r="Z4" s="7"/>
      <c r="AA4" s="7"/>
      <c r="AD4" s="54" t="s">
        <v>14</v>
      </c>
      <c r="AE4" s="54" t="s">
        <v>15</v>
      </c>
      <c r="AF4" s="52" t="s">
        <v>79</v>
      </c>
      <c r="AG4" s="53" t="s">
        <v>11</v>
      </c>
    </row>
    <row r="5" spans="1:34">
      <c r="A5" s="48">
        <v>0</v>
      </c>
      <c r="B5" s="17" t="s">
        <v>6</v>
      </c>
      <c r="C5" s="48">
        <f>A6-1</f>
        <v>550999</v>
      </c>
      <c r="D5" s="8">
        <v>1</v>
      </c>
      <c r="E5" s="8">
        <v>0</v>
      </c>
      <c r="F5" s="48">
        <v>0</v>
      </c>
      <c r="G5" s="17" t="str">
        <f>IF($A$18&gt;=A5,IF($A$18&lt;A6,"✓","-"),"-")</f>
        <v>-</v>
      </c>
      <c r="I5" s="1" t="s">
        <v>27</v>
      </c>
      <c r="J5" s="40" t="str">
        <f>IF(L5="✓",0,"-")</f>
        <v>-</v>
      </c>
      <c r="K5" s="40" t="str">
        <f>IFERROR(ROUNDDOWN(J5,0),"-")</f>
        <v>-</v>
      </c>
      <c r="L5" t="str">
        <f>IF($A$18&gt;=A5,IF($A$18&lt;A6,"✓",""),"")</f>
        <v/>
      </c>
      <c r="M5" t="b">
        <f>K5=J5</f>
        <v>1</v>
      </c>
      <c r="N5" s="227" t="s">
        <v>103</v>
      </c>
      <c r="O5" s="228"/>
      <c r="P5" s="229"/>
      <c r="Q5" s="47" t="s">
        <v>10</v>
      </c>
      <c r="R5" s="42" t="s">
        <v>104</v>
      </c>
      <c r="S5" s="42" t="s">
        <v>30</v>
      </c>
      <c r="T5" s="55"/>
      <c r="U5" s="47" t="s">
        <v>10</v>
      </c>
      <c r="V5" s="42" t="s">
        <v>104</v>
      </c>
      <c r="W5" s="42" t="s">
        <v>30</v>
      </c>
      <c r="X5" s="55"/>
      <c r="Y5" s="47" t="s">
        <v>10</v>
      </c>
      <c r="Z5" s="42" t="s">
        <v>104</v>
      </c>
      <c r="AA5" s="42" t="s">
        <v>30</v>
      </c>
      <c r="AD5" s="15">
        <f>IF(K18&lt;100001,K18,100000)</f>
        <v>100000</v>
      </c>
      <c r="AE5" s="15">
        <f>IF(S23&lt;100001,S23,100000)</f>
        <v>100000</v>
      </c>
      <c r="AF5" s="50">
        <v>-100000</v>
      </c>
      <c r="AG5" s="48">
        <f>MAX(IF(OR(AD5=0,AE5=0),0,AD5+AE5+AF5),0)</f>
        <v>100000</v>
      </c>
    </row>
    <row r="6" spans="1:34">
      <c r="A6" s="48">
        <v>551000</v>
      </c>
      <c r="B6" s="17" t="s">
        <v>17</v>
      </c>
      <c r="C6" s="48">
        <f>A7-1</f>
        <v>1618999</v>
      </c>
      <c r="D6" s="8">
        <v>1</v>
      </c>
      <c r="E6" s="8">
        <v>1</v>
      </c>
      <c r="F6" s="48">
        <v>-550000</v>
      </c>
      <c r="G6" s="17" t="str">
        <f t="shared" ref="G6:G14" si="0">IF($A$18&gt;=A6,IF($A$18&lt;A7,"✓","-"),"-")</f>
        <v>-</v>
      </c>
      <c r="I6" s="1" t="s">
        <v>20</v>
      </c>
      <c r="J6" s="40" t="str">
        <f>IF(L6="✓",$A$18-550000,"-")</f>
        <v>-</v>
      </c>
      <c r="K6" s="40" t="str">
        <f t="shared" ref="K6:K15" si="1">IFERROR(ROUNDDOWN(J6,0),"-")</f>
        <v>-</v>
      </c>
      <c r="L6" t="str">
        <f>IF($A$18&gt;=A6,IF($A$18&lt;A7,"✓",""),"")</f>
        <v/>
      </c>
      <c r="M6" t="b">
        <f t="shared" ref="M6:M13" si="2">K6=J6</f>
        <v>1</v>
      </c>
      <c r="N6" s="56">
        <v>0</v>
      </c>
      <c r="O6" s="57" t="s">
        <v>17</v>
      </c>
      <c r="P6" s="56">
        <f>N7-1</f>
        <v>3299999</v>
      </c>
      <c r="Q6" s="58">
        <v>1</v>
      </c>
      <c r="R6" s="56">
        <v>-1100000</v>
      </c>
      <c r="S6" s="56" t="str">
        <f>IF(T6="✓",IF($N$23*Q6+R6&gt;0,$N$23*Q6+R6,0),"-")</f>
        <v>-</v>
      </c>
      <c r="T6" s="59" t="str">
        <f>IF($N$21&gt;=65,IF($N$25&lt;=10000000,IF(AND($N$23&gt;=$N6,$N$23&lt;$N7),"✓","-"),"-"),"-")</f>
        <v>-</v>
      </c>
      <c r="U6" s="60">
        <v>1</v>
      </c>
      <c r="V6" s="56">
        <f>R6+100000</f>
        <v>-1000000</v>
      </c>
      <c r="W6" s="56" t="str">
        <f>IF(X6="✓",IF($N$23*U6+V6&gt;0,$N$23*U6+V6,0),"-")</f>
        <v>-</v>
      </c>
      <c r="X6" s="59" t="str">
        <f>IF($N$21&gt;=65,IF(AND($N$25&gt;10000000,$N$25&lt;=20000000),IF(AND($N$23&gt;=$N6,$N$23&lt;$N7),"✓","-"),"-"),"-")</f>
        <v>-</v>
      </c>
      <c r="Y6" s="60">
        <v>1</v>
      </c>
      <c r="Z6" s="56">
        <f>V6+100000</f>
        <v>-900000</v>
      </c>
      <c r="AA6" s="56" t="str">
        <f>IF(AB6="✓",IF($N$23*Y6+Z6&gt;0,$N$23*Y6+Z6,0),"-")</f>
        <v>-</v>
      </c>
      <c r="AB6" t="str">
        <f>IF($N$21&gt;=65,IF($N$25&gt;20000000,IF(AND($N$23&gt;=$N6,$N$23&lt;$N7),"✓","-"),"-"),"-")</f>
        <v>-</v>
      </c>
    </row>
    <row r="7" spans="1:34">
      <c r="A7" s="48">
        <v>1619000</v>
      </c>
      <c r="B7" s="17" t="s">
        <v>17</v>
      </c>
      <c r="C7" s="48">
        <f t="shared" ref="C7:C14" si="3">A8-1</f>
        <v>1619999</v>
      </c>
      <c r="D7" s="8">
        <v>1</v>
      </c>
      <c r="E7" s="8">
        <v>0</v>
      </c>
      <c r="F7" s="48">
        <v>1069000</v>
      </c>
      <c r="G7" s="17" t="str">
        <f t="shared" si="0"/>
        <v>-</v>
      </c>
      <c r="I7" s="1" t="s">
        <v>21</v>
      </c>
      <c r="J7" s="40" t="str">
        <f>IF(L7="✓",1069000,"-")</f>
        <v>-</v>
      </c>
      <c r="K7" s="40" t="str">
        <f t="shared" si="1"/>
        <v>-</v>
      </c>
      <c r="L7" t="str">
        <f>IF($A$18&gt;=A7,IF($A$18&lt;A8,"✓",""),"")</f>
        <v/>
      </c>
      <c r="M7" t="b">
        <f t="shared" si="2"/>
        <v>1</v>
      </c>
      <c r="N7" s="56">
        <v>3300000</v>
      </c>
      <c r="O7" s="57" t="s">
        <v>17</v>
      </c>
      <c r="P7" s="56">
        <f t="shared" ref="P7:P9" si="4">N8-1</f>
        <v>4099999</v>
      </c>
      <c r="Q7" s="58">
        <v>0.75</v>
      </c>
      <c r="R7" s="56">
        <v>-275000</v>
      </c>
      <c r="S7" s="56" t="str">
        <f>IF(T7="✓",$N$23*Q7+R7,"-")</f>
        <v>-</v>
      </c>
      <c r="T7" s="59" t="str">
        <f t="shared" ref="T7:T9" si="5">IF($N$21&gt;=65,IF($N$25&lt;=10000000,IF(AND($N$23&gt;=$N7,$N$23&lt;$N8),"✓","-"),"-"),"-")</f>
        <v>-</v>
      </c>
      <c r="U7" s="60">
        <v>0.75</v>
      </c>
      <c r="V7" s="56">
        <f t="shared" ref="V7:V10" si="6">R7+100000</f>
        <v>-175000</v>
      </c>
      <c r="W7" s="56" t="str">
        <f>IF(X7="✓",$N$23*U7+V7,"-")</f>
        <v>-</v>
      </c>
      <c r="X7" s="59" t="str">
        <f t="shared" ref="X7:X9" si="7">IF($N$21&gt;=65,IF(AND($N$25&gt;10000000,$N$25&lt;=20000000),IF(AND($N$23&gt;=$N7,$N$23&lt;$N8),"✓","-"),"-"),"-")</f>
        <v>-</v>
      </c>
      <c r="Y7" s="60">
        <v>0.75</v>
      </c>
      <c r="Z7" s="56">
        <f t="shared" ref="Z7:Z10" si="8">V7+100000</f>
        <v>-75000</v>
      </c>
      <c r="AA7" s="56" t="str">
        <f>IF(AB7="✓",$N$23*Y7+Z7,"-")</f>
        <v>-</v>
      </c>
      <c r="AB7" t="str">
        <f t="shared" ref="AB7:AB9" si="9">IF($N$21&gt;=65,IF($N$25&gt;20000000,IF(AND($N$23&gt;=$N7,$N$23&lt;$N8),"✓","-"),"-"),"-")</f>
        <v>-</v>
      </c>
      <c r="AD7" s="7" t="s">
        <v>12</v>
      </c>
      <c r="AG7" s="2">
        <f>総表!I10</f>
        <v>0</v>
      </c>
      <c r="AH7" t="s">
        <v>78</v>
      </c>
    </row>
    <row r="8" spans="1:34">
      <c r="A8" s="48">
        <v>1620000</v>
      </c>
      <c r="B8" s="17" t="s">
        <v>17</v>
      </c>
      <c r="C8" s="48">
        <f t="shared" si="3"/>
        <v>1621999</v>
      </c>
      <c r="D8" s="8">
        <v>1</v>
      </c>
      <c r="E8" s="8">
        <v>0</v>
      </c>
      <c r="F8" s="48">
        <v>1070000</v>
      </c>
      <c r="G8" s="17" t="str">
        <f t="shared" si="0"/>
        <v>-</v>
      </c>
      <c r="I8" s="1" t="s">
        <v>22</v>
      </c>
      <c r="J8" s="40" t="str">
        <f>IF(L8="✓",1070000,"-")</f>
        <v>-</v>
      </c>
      <c r="K8" s="40" t="str">
        <f t="shared" si="1"/>
        <v>-</v>
      </c>
      <c r="L8" t="str">
        <f t="shared" ref="L8:L12" si="10">IF($A$18&gt;=A8,IF($A$18&lt;A9,"✓",""),"")</f>
        <v/>
      </c>
      <c r="M8" t="b">
        <f t="shared" si="2"/>
        <v>1</v>
      </c>
      <c r="N8" s="56">
        <v>4100000</v>
      </c>
      <c r="O8" s="57" t="s">
        <v>17</v>
      </c>
      <c r="P8" s="56">
        <f t="shared" si="4"/>
        <v>7699999</v>
      </c>
      <c r="Q8" s="58">
        <v>0.85</v>
      </c>
      <c r="R8" s="56">
        <v>-685000</v>
      </c>
      <c r="S8" s="56" t="str">
        <f t="shared" ref="S8:S10" si="11">IF(T8="✓",$N$23*Q8+R8,"-")</f>
        <v>-</v>
      </c>
      <c r="T8" s="59" t="str">
        <f t="shared" si="5"/>
        <v>-</v>
      </c>
      <c r="U8" s="60">
        <v>0.85</v>
      </c>
      <c r="V8" s="56">
        <f t="shared" si="6"/>
        <v>-585000</v>
      </c>
      <c r="W8" s="56" t="str">
        <f t="shared" ref="W8:W10" si="12">IF(X8="✓",$N$23*U8+V8,"-")</f>
        <v>-</v>
      </c>
      <c r="X8" s="59" t="str">
        <f t="shared" si="7"/>
        <v>-</v>
      </c>
      <c r="Y8" s="60">
        <v>0.85</v>
      </c>
      <c r="Z8" s="56">
        <f t="shared" si="8"/>
        <v>-485000</v>
      </c>
      <c r="AA8" s="56" t="str">
        <f t="shared" ref="AA8:AA10" si="13">IF(AB8="✓",$N$23*Y8+Z8,"-")</f>
        <v>-</v>
      </c>
      <c r="AB8" t="str">
        <f t="shared" si="9"/>
        <v>-</v>
      </c>
      <c r="AD8" s="51" t="s">
        <v>74</v>
      </c>
      <c r="AE8" s="52" t="s">
        <v>76</v>
      </c>
      <c r="AF8" s="51" t="s">
        <v>75</v>
      </c>
      <c r="AG8" s="53" t="s">
        <v>11</v>
      </c>
    </row>
    <row r="9" spans="1:34">
      <c r="A9" s="48">
        <v>1622000</v>
      </c>
      <c r="B9" s="17" t="s">
        <v>17</v>
      </c>
      <c r="C9" s="48">
        <f t="shared" si="3"/>
        <v>1623999</v>
      </c>
      <c r="D9" s="8">
        <v>1</v>
      </c>
      <c r="E9" s="8">
        <v>0</v>
      </c>
      <c r="F9" s="48">
        <v>1072000</v>
      </c>
      <c r="G9" s="17" t="str">
        <f t="shared" si="0"/>
        <v>-</v>
      </c>
      <c r="I9" s="1" t="s">
        <v>23</v>
      </c>
      <c r="J9" s="40" t="str">
        <f>IF(L9="✓",1072000,"-")</f>
        <v>-</v>
      </c>
      <c r="K9" s="40" t="str">
        <f t="shared" si="1"/>
        <v>-</v>
      </c>
      <c r="L9" t="str">
        <f t="shared" si="10"/>
        <v/>
      </c>
      <c r="M9" t="b">
        <f t="shared" si="2"/>
        <v>1</v>
      </c>
      <c r="N9" s="56">
        <v>7700000</v>
      </c>
      <c r="O9" s="57" t="s">
        <v>17</v>
      </c>
      <c r="P9" s="56">
        <f t="shared" si="4"/>
        <v>9999999</v>
      </c>
      <c r="Q9" s="58">
        <v>0.95</v>
      </c>
      <c r="R9" s="56">
        <v>-1455000</v>
      </c>
      <c r="S9" s="56" t="str">
        <f t="shared" si="11"/>
        <v>-</v>
      </c>
      <c r="T9" s="59" t="str">
        <f t="shared" si="5"/>
        <v>-</v>
      </c>
      <c r="U9" s="60">
        <v>0.95</v>
      </c>
      <c r="V9" s="56">
        <f t="shared" si="6"/>
        <v>-1355000</v>
      </c>
      <c r="W9" s="56" t="str">
        <f t="shared" si="12"/>
        <v>-</v>
      </c>
      <c r="X9" s="59" t="str">
        <f t="shared" si="7"/>
        <v>-</v>
      </c>
      <c r="Y9" s="60">
        <v>0.95</v>
      </c>
      <c r="Z9" s="56">
        <f t="shared" si="8"/>
        <v>-1255000</v>
      </c>
      <c r="AA9" s="56" t="str">
        <f t="shared" si="13"/>
        <v>-</v>
      </c>
      <c r="AB9" t="str">
        <f t="shared" si="9"/>
        <v>-</v>
      </c>
      <c r="AD9" s="15">
        <f>IF(A18&gt;10000000,10000000,IF(A18&gt;8500000,A18,0))</f>
        <v>0</v>
      </c>
      <c r="AE9" s="15">
        <v>-8500000</v>
      </c>
      <c r="AF9" s="1">
        <f>IF(SUM(AD9:AE9)&lt;0,0,0.1)</f>
        <v>0</v>
      </c>
      <c r="AG9" s="15">
        <f>ROUNDUP(IF(AG7="いいえ",0,IF(AG7=0,0,SUM(AD9:AE9)*AF9)),0)</f>
        <v>0</v>
      </c>
    </row>
    <row r="10" spans="1:34">
      <c r="A10" s="48">
        <v>1624000</v>
      </c>
      <c r="B10" s="17" t="s">
        <v>17</v>
      </c>
      <c r="C10" s="48">
        <f t="shared" si="3"/>
        <v>1627999</v>
      </c>
      <c r="D10" s="8">
        <v>1</v>
      </c>
      <c r="E10" s="8">
        <v>0</v>
      </c>
      <c r="F10" s="48">
        <v>1074000</v>
      </c>
      <c r="G10" s="17" t="str">
        <f t="shared" si="0"/>
        <v>-</v>
      </c>
      <c r="I10" s="1" t="s">
        <v>24</v>
      </c>
      <c r="J10" s="40" t="str">
        <f>IF(L10="✓",1074000,"-")</f>
        <v>-</v>
      </c>
      <c r="K10" s="40" t="str">
        <f t="shared" si="1"/>
        <v>-</v>
      </c>
      <c r="L10" t="str">
        <f t="shared" si="10"/>
        <v/>
      </c>
      <c r="M10" t="b">
        <f t="shared" si="2"/>
        <v>1</v>
      </c>
      <c r="N10" s="56">
        <v>10000000</v>
      </c>
      <c r="O10" s="57" t="s">
        <v>17</v>
      </c>
      <c r="P10" s="56"/>
      <c r="Q10" s="58">
        <v>1</v>
      </c>
      <c r="R10" s="56">
        <v>-1955000</v>
      </c>
      <c r="S10" s="56" t="str">
        <f t="shared" si="11"/>
        <v>-</v>
      </c>
      <c r="T10" s="59" t="str">
        <f>IF($N$21&gt;=65,IF($N$25&lt;=10000000,IF($N$23&gt;=$N10,"✓","-"),"-"),"-")</f>
        <v>-</v>
      </c>
      <c r="U10" s="60">
        <v>1</v>
      </c>
      <c r="V10" s="56">
        <f t="shared" si="6"/>
        <v>-1855000</v>
      </c>
      <c r="W10" s="56" t="str">
        <f t="shared" si="12"/>
        <v>-</v>
      </c>
      <c r="X10" s="59" t="str">
        <f>IF($N$21&gt;=65,IF(AND($N$25&gt;10000000,$N$25&lt;=20000000),IF($N$23&gt;=$N10,"✓","-"),"-"),"-")</f>
        <v>-</v>
      </c>
      <c r="Y10" s="60">
        <v>1</v>
      </c>
      <c r="Z10" s="56">
        <f t="shared" si="8"/>
        <v>-1755000</v>
      </c>
      <c r="AA10" s="56" t="str">
        <f t="shared" si="13"/>
        <v>-</v>
      </c>
      <c r="AB10" t="str">
        <f>IF($N$21&gt;=65,IF($N$25&gt;20000000,IF($N$23&gt;=$N10,"✓","-"),"-"),"-")</f>
        <v>-</v>
      </c>
      <c r="AD10" t="s">
        <v>119</v>
      </c>
    </row>
    <row r="11" spans="1:34">
      <c r="A11" s="48">
        <v>1628000</v>
      </c>
      <c r="B11" s="17" t="s">
        <v>17</v>
      </c>
      <c r="C11" s="48">
        <f t="shared" si="3"/>
        <v>1799999</v>
      </c>
      <c r="D11" s="8">
        <v>4</v>
      </c>
      <c r="E11" s="8">
        <v>2.4</v>
      </c>
      <c r="F11" s="48">
        <v>100000</v>
      </c>
      <c r="G11" s="17" t="str">
        <f t="shared" si="0"/>
        <v>-</v>
      </c>
      <c r="I11" s="1" t="s">
        <v>90</v>
      </c>
      <c r="J11" s="40" t="str">
        <f>IF(L11="✓",ROUNDDOWN($A$18/4,-3)*2.4+100000,"-")</f>
        <v>-</v>
      </c>
      <c r="K11" s="40" t="str">
        <f t="shared" si="1"/>
        <v>-</v>
      </c>
      <c r="L11" t="str">
        <f t="shared" si="10"/>
        <v/>
      </c>
      <c r="M11" t="b">
        <f t="shared" si="2"/>
        <v>1</v>
      </c>
      <c r="N11" s="7"/>
      <c r="O11" s="16"/>
      <c r="P11" s="7"/>
      <c r="R11" s="7"/>
      <c r="S11" s="7"/>
      <c r="V11" s="7"/>
      <c r="W11" s="7"/>
      <c r="Z11" s="7"/>
      <c r="AA11" s="7"/>
      <c r="AF11" s="41" t="s">
        <v>116</v>
      </c>
      <c r="AG11" s="15">
        <f>SUM(AG5,AG9)</f>
        <v>100000</v>
      </c>
    </row>
    <row r="12" spans="1:34">
      <c r="A12" s="48">
        <v>1800000</v>
      </c>
      <c r="B12" s="17" t="s">
        <v>17</v>
      </c>
      <c r="C12" s="48">
        <f t="shared" si="3"/>
        <v>3599999</v>
      </c>
      <c r="D12" s="8">
        <v>4</v>
      </c>
      <c r="E12" s="8">
        <v>2.8</v>
      </c>
      <c r="F12" s="48">
        <v>-80000</v>
      </c>
      <c r="G12" s="17" t="str">
        <f t="shared" si="0"/>
        <v>-</v>
      </c>
      <c r="I12" s="1" t="s">
        <v>91</v>
      </c>
      <c r="J12" s="40" t="str">
        <f>IF(L12="✓",ROUNDDOWN($A$18/4,-3)*2.8-80000,"-")</f>
        <v>-</v>
      </c>
      <c r="K12" s="40" t="str">
        <f t="shared" si="1"/>
        <v>-</v>
      </c>
      <c r="L12" t="str">
        <f t="shared" si="10"/>
        <v/>
      </c>
      <c r="M12" t="b">
        <f t="shared" si="2"/>
        <v>1</v>
      </c>
      <c r="N12" s="7" t="s">
        <v>130</v>
      </c>
      <c r="O12" s="16"/>
      <c r="P12" s="7"/>
      <c r="R12" s="7"/>
      <c r="S12" s="7"/>
      <c r="U12" t="s">
        <v>126</v>
      </c>
      <c r="V12" s="7"/>
      <c r="W12" s="7"/>
      <c r="Y12" t="s">
        <v>128</v>
      </c>
      <c r="Z12" s="7"/>
      <c r="AA12" s="7"/>
    </row>
    <row r="13" spans="1:34">
      <c r="A13" s="48">
        <v>3600000</v>
      </c>
      <c r="B13" s="17" t="s">
        <v>17</v>
      </c>
      <c r="C13" s="48">
        <f t="shared" si="3"/>
        <v>6599999</v>
      </c>
      <c r="D13" s="8">
        <v>4</v>
      </c>
      <c r="E13" s="8">
        <v>3.2</v>
      </c>
      <c r="F13" s="48">
        <v>-440000</v>
      </c>
      <c r="G13" s="17" t="str">
        <f t="shared" si="0"/>
        <v>✓</v>
      </c>
      <c r="I13" s="1" t="s">
        <v>92</v>
      </c>
      <c r="J13" s="40">
        <f>IF(L13="✓",ROUNDDOWN($A$18/4,-3)*3.2-440000,"-")</f>
        <v>3400000</v>
      </c>
      <c r="K13" s="40">
        <f t="shared" si="1"/>
        <v>3400000</v>
      </c>
      <c r="L13" t="str">
        <f>IF($A$18&gt;=A13,IF($A$18&lt;A14,"✓",""),"")</f>
        <v>✓</v>
      </c>
      <c r="M13" t="b">
        <f t="shared" si="2"/>
        <v>1</v>
      </c>
      <c r="N13" s="227" t="s">
        <v>103</v>
      </c>
      <c r="O13" s="228"/>
      <c r="P13" s="229"/>
      <c r="Q13" s="47" t="s">
        <v>10</v>
      </c>
      <c r="R13" s="42" t="s">
        <v>104</v>
      </c>
      <c r="S13" s="42" t="s">
        <v>30</v>
      </c>
      <c r="T13" s="55"/>
      <c r="U13" s="47" t="s">
        <v>10</v>
      </c>
      <c r="V13" s="42" t="s">
        <v>104</v>
      </c>
      <c r="W13" s="42" t="s">
        <v>30</v>
      </c>
      <c r="X13" s="55"/>
      <c r="Y13" s="47" t="s">
        <v>10</v>
      </c>
      <c r="Z13" s="42" t="s">
        <v>104</v>
      </c>
      <c r="AA13" s="42" t="s">
        <v>30</v>
      </c>
    </row>
    <row r="14" spans="1:34">
      <c r="A14" s="48">
        <v>6600000</v>
      </c>
      <c r="B14" s="17" t="s">
        <v>17</v>
      </c>
      <c r="C14" s="48">
        <f t="shared" si="3"/>
        <v>8499999</v>
      </c>
      <c r="D14" s="8">
        <v>1</v>
      </c>
      <c r="E14" s="8">
        <v>0.9</v>
      </c>
      <c r="F14" s="48">
        <v>-1100000</v>
      </c>
      <c r="G14" s="17" t="str">
        <f t="shared" si="0"/>
        <v>-</v>
      </c>
      <c r="I14" s="1" t="s">
        <v>26</v>
      </c>
      <c r="J14" s="40" t="str">
        <f>IF(L14="✓",$A$18*0.9-1100000,"-")</f>
        <v>-</v>
      </c>
      <c r="K14" s="40" t="str">
        <f t="shared" si="1"/>
        <v>-</v>
      </c>
      <c r="L14" t="str">
        <f>IF($A$18&gt;=A14,IF($A$18&lt;A15,"✓",""),"")</f>
        <v/>
      </c>
      <c r="M14" t="b">
        <f>K14=J14</f>
        <v>1</v>
      </c>
      <c r="N14" s="56">
        <v>0</v>
      </c>
      <c r="O14" s="57" t="s">
        <v>17</v>
      </c>
      <c r="P14" s="56">
        <f t="shared" ref="P14:P17" si="14">N15-1</f>
        <v>1299999</v>
      </c>
      <c r="Q14" s="58">
        <v>1</v>
      </c>
      <c r="R14" s="56">
        <v>-600000</v>
      </c>
      <c r="S14" s="56">
        <f>IF(T14="✓",IF($N$23*Q14+R14&gt;0,$N$23*Q14+R14,0),"-")</f>
        <v>600000</v>
      </c>
      <c r="T14" s="59" t="str">
        <f>IF($N$21&lt;65,IF($N$25&lt;=10000000,IF(AND($N$23&gt;=$N14,$N$23&lt;$N15),"✓","-"),"-"),"-")</f>
        <v>✓</v>
      </c>
      <c r="U14" s="60">
        <v>1</v>
      </c>
      <c r="V14" s="56">
        <f t="shared" ref="V14:V18" si="15">R14+100000</f>
        <v>-500000</v>
      </c>
      <c r="W14" s="56" t="str">
        <f>IF(X14="✓",IF($N$23*U14+V14&gt;0,$N$23*U14+V14,0),"-")</f>
        <v>-</v>
      </c>
      <c r="X14" s="59" t="str">
        <f>IF($N$21&lt;65,IF(AND($N$25&gt;10000000,$N$25&lt;=20000000),IF(AND($N$23&gt;=$N14,$N$23&lt;$N15),"✓","-"),"-"),"-")</f>
        <v>-</v>
      </c>
      <c r="Y14" s="60">
        <v>1</v>
      </c>
      <c r="Z14" s="56">
        <f t="shared" ref="Z14:Z18" si="16">V14+100000</f>
        <v>-400000</v>
      </c>
      <c r="AA14" s="56" t="str">
        <f>IF(AB14="✓",IF($N$23*Y14+Z14&gt;0,$N$23*Y14+Z14,0),"-")</f>
        <v>-</v>
      </c>
      <c r="AB14" t="str">
        <f>IF($N$21&lt;65,IF($N$25&gt;20000000,IF(AND($N$23&gt;=$N14,$N$23&lt;$N15),"✓","-"),"-"),"-")</f>
        <v>-</v>
      </c>
      <c r="AC14" t="s">
        <v>105</v>
      </c>
    </row>
    <row r="15" spans="1:34">
      <c r="A15" s="48">
        <v>8500000</v>
      </c>
      <c r="B15" s="17" t="s">
        <v>17</v>
      </c>
      <c r="C15" s="48"/>
      <c r="D15" s="8">
        <v>1</v>
      </c>
      <c r="E15" s="8">
        <v>1</v>
      </c>
      <c r="F15" s="48">
        <v>-1950000</v>
      </c>
      <c r="G15" s="17" t="str">
        <f>IF($A$18&gt;=A15,"✓","-")</f>
        <v>-</v>
      </c>
      <c r="I15" s="1" t="s">
        <v>25</v>
      </c>
      <c r="J15" s="40" t="str">
        <f>IF(L15="✓",$A$18-1950000,"-")</f>
        <v>-</v>
      </c>
      <c r="K15" s="40" t="str">
        <f t="shared" si="1"/>
        <v>-</v>
      </c>
      <c r="L15" t="str">
        <f>IF($A$18&gt;=$A$15,"✓","")</f>
        <v/>
      </c>
      <c r="M15" t="b">
        <f t="shared" ref="M15" si="17">K15=J15</f>
        <v>1</v>
      </c>
      <c r="N15" s="56">
        <v>1300000</v>
      </c>
      <c r="O15" s="57" t="s">
        <v>17</v>
      </c>
      <c r="P15" s="56">
        <f t="shared" si="14"/>
        <v>4099999</v>
      </c>
      <c r="Q15" s="58">
        <v>0.75</v>
      </c>
      <c r="R15" s="56">
        <v>-275000</v>
      </c>
      <c r="S15" s="56" t="str">
        <f t="shared" ref="S15:S18" si="18">IF(T15="✓",$N$23*Q15+R15,"-")</f>
        <v>-</v>
      </c>
      <c r="T15" s="59" t="str">
        <f t="shared" ref="T15:T17" si="19">IF($N$21&lt;65,IF($N$25&lt;=10000000,IF(AND($N$23&gt;=$N15,$N$23&lt;$N16),"✓","-"),"-"),"-")</f>
        <v>-</v>
      </c>
      <c r="U15" s="60">
        <v>0.75</v>
      </c>
      <c r="V15" s="56">
        <f t="shared" si="15"/>
        <v>-175000</v>
      </c>
      <c r="W15" s="56" t="str">
        <f>IF(X15="✓",$N$23*U15+V15,"-")</f>
        <v>-</v>
      </c>
      <c r="X15" s="59" t="str">
        <f t="shared" ref="X15:X17" si="20">IF($N$21&lt;65,IF(AND($N$25&gt;10000000,$N$25&lt;=20000000),IF(AND($N$23&gt;=$N15,$N$23&lt;$N16),"✓","-"),"-"),"-")</f>
        <v>-</v>
      </c>
      <c r="Y15" s="60">
        <v>0.75</v>
      </c>
      <c r="Z15" s="56">
        <f t="shared" si="16"/>
        <v>-75000</v>
      </c>
      <c r="AA15" s="56" t="str">
        <f>IF(AB15="✓",$N$23*Y15+Z15,"-")</f>
        <v>-</v>
      </c>
      <c r="AB15" t="str">
        <f>IF($N$21&lt;65,IF($N$25&gt;20000000,IF(AND($N$23&gt;=$N15,$N$23&lt;$N16),"✓","-"),"-"),"-")</f>
        <v>-</v>
      </c>
      <c r="AD15" s="43" t="s">
        <v>94</v>
      </c>
      <c r="AE15" s="14">
        <f>G18</f>
        <v>3400000</v>
      </c>
      <c r="AF15" s="14"/>
      <c r="AG15" s="14"/>
    </row>
    <row r="16" spans="1:34">
      <c r="J16" s="14"/>
      <c r="K16" s="14"/>
      <c r="N16" s="56">
        <v>4100000</v>
      </c>
      <c r="O16" s="57" t="s">
        <v>17</v>
      </c>
      <c r="P16" s="56">
        <f t="shared" si="14"/>
        <v>7699999</v>
      </c>
      <c r="Q16" s="58">
        <v>0.85</v>
      </c>
      <c r="R16" s="56">
        <v>-685000</v>
      </c>
      <c r="S16" s="56" t="str">
        <f t="shared" si="18"/>
        <v>-</v>
      </c>
      <c r="T16" s="59" t="str">
        <f t="shared" si="19"/>
        <v>-</v>
      </c>
      <c r="U16" s="60">
        <v>0.85</v>
      </c>
      <c r="V16" s="56">
        <f t="shared" si="15"/>
        <v>-585000</v>
      </c>
      <c r="W16" s="56" t="str">
        <f t="shared" ref="W16:W18" si="21">IF(X16="✓",$N$23*U16+V16,"-")</f>
        <v>-</v>
      </c>
      <c r="X16" s="59" t="str">
        <f t="shared" si="20"/>
        <v>-</v>
      </c>
      <c r="Y16" s="60">
        <v>0.85</v>
      </c>
      <c r="Z16" s="56">
        <f t="shared" si="16"/>
        <v>-485000</v>
      </c>
      <c r="AA16" s="56" t="str">
        <f t="shared" ref="AA16:AA18" si="22">IF(AB16="✓",$N$23*Y16+Z16,"-")</f>
        <v>-</v>
      </c>
      <c r="AB16" t="str">
        <f>IF($N$21&lt;65,IF($N$25&gt;20000000,IF(AND($N$23&gt;=$N16,$N$23&lt;$N17),"✓","-"),"-"),"-")</f>
        <v>-</v>
      </c>
      <c r="AD16" s="41" t="s">
        <v>108</v>
      </c>
      <c r="AE16" s="14">
        <f>-AG9</f>
        <v>0</v>
      </c>
      <c r="AF16" t="s">
        <v>106</v>
      </c>
    </row>
    <row r="17" spans="1:33">
      <c r="A17" s="47" t="s">
        <v>101</v>
      </c>
      <c r="B17" s="2"/>
      <c r="C17" s="2"/>
      <c r="D17" s="47" t="s">
        <v>96</v>
      </c>
      <c r="E17" s="47" t="s">
        <v>97</v>
      </c>
      <c r="F17" s="47" t="s">
        <v>100</v>
      </c>
      <c r="G17" s="47" t="s">
        <v>102</v>
      </c>
      <c r="J17" s="39" t="s">
        <v>77</v>
      </c>
      <c r="K17" s="1" t="s">
        <v>18</v>
      </c>
      <c r="L17" s="1" t="s">
        <v>2</v>
      </c>
      <c r="N17" s="56">
        <v>7700000</v>
      </c>
      <c r="O17" s="57" t="s">
        <v>17</v>
      </c>
      <c r="P17" s="56">
        <f t="shared" si="14"/>
        <v>9999999</v>
      </c>
      <c r="Q17" s="58">
        <v>0.95</v>
      </c>
      <c r="R17" s="56">
        <v>-1455000</v>
      </c>
      <c r="S17" s="56" t="str">
        <f>IF(T17="✓",$N$23*Q17+R17,"-")</f>
        <v>-</v>
      </c>
      <c r="T17" s="59" t="str">
        <f t="shared" si="19"/>
        <v>-</v>
      </c>
      <c r="U17" s="60">
        <v>0.95</v>
      </c>
      <c r="V17" s="56">
        <f t="shared" si="15"/>
        <v>-1355000</v>
      </c>
      <c r="W17" s="56" t="str">
        <f t="shared" si="21"/>
        <v>-</v>
      </c>
      <c r="X17" s="59" t="str">
        <f t="shared" si="20"/>
        <v>-</v>
      </c>
      <c r="Y17" s="60">
        <v>0.95</v>
      </c>
      <c r="Z17" s="56">
        <f t="shared" si="16"/>
        <v>-1255000</v>
      </c>
      <c r="AA17" s="56" t="str">
        <f t="shared" si="22"/>
        <v>-</v>
      </c>
      <c r="AB17" t="str">
        <f>IF($N$21&lt;65,IF($N$25&gt;20000000,IF(AND($N$23&gt;=$N17,$N$23&lt;$N18),"✓","-"),"-"),"-")</f>
        <v>-</v>
      </c>
      <c r="AC17" s="44"/>
      <c r="AD17" s="45" t="s">
        <v>107</v>
      </c>
      <c r="AE17" s="46">
        <f>総表!D28</f>
        <v>960000</v>
      </c>
      <c r="AG17" s="14"/>
    </row>
    <row r="18" spans="1:33">
      <c r="A18" s="15">
        <f>総表!D18</f>
        <v>4800000</v>
      </c>
      <c r="D18" s="1">
        <f>VLOOKUP($A$18,$A$5:$K$15,4)</f>
        <v>4</v>
      </c>
      <c r="E18" s="1">
        <f>VLOOKUP($A$18,$A$5:$K$15,5)</f>
        <v>3.2</v>
      </c>
      <c r="F18" s="15">
        <f>VLOOKUP($A$18,$A$5:$K$15,6)</f>
        <v>-440000</v>
      </c>
      <c r="G18" s="15">
        <f>ROUNDDOWN((IF(D18=4,ROUNDDOWN(A18/4,-3),A18)*E18)+F18,0)</f>
        <v>3400000</v>
      </c>
      <c r="J18" s="14"/>
      <c r="K18" s="15">
        <f>VLOOKUP($A$18,$A$5:$K$15,11)</f>
        <v>3400000</v>
      </c>
      <c r="L18" s="15">
        <f>A18-K18</f>
        <v>1400000</v>
      </c>
      <c r="N18" s="56">
        <v>10000000</v>
      </c>
      <c r="O18" s="57" t="s">
        <v>17</v>
      </c>
      <c r="P18" s="56"/>
      <c r="Q18" s="58">
        <v>1</v>
      </c>
      <c r="R18" s="56">
        <v>-1955000</v>
      </c>
      <c r="S18" s="56" t="str">
        <f t="shared" si="18"/>
        <v>-</v>
      </c>
      <c r="T18" s="59" t="str">
        <f>IF($N$21&lt;65,IF($N$25&lt;=10000000,IF($N$23&gt;=$N18,"✓","-"),"-"),"-")</f>
        <v>-</v>
      </c>
      <c r="U18" s="60">
        <v>1</v>
      </c>
      <c r="V18" s="56">
        <f t="shared" si="15"/>
        <v>-1855000</v>
      </c>
      <c r="W18" s="56" t="str">
        <f t="shared" si="21"/>
        <v>-</v>
      </c>
      <c r="X18" s="59" t="str">
        <f>IF($N$21&lt;65,IF(AND($N$25&gt;10000000,$N$25&lt;=20000000),IF($N$23&gt;=$N18,"✓","-"),"-"),"-")</f>
        <v>-</v>
      </c>
      <c r="Y18" s="60">
        <v>1</v>
      </c>
      <c r="Z18" s="56">
        <f t="shared" si="16"/>
        <v>-1755000</v>
      </c>
      <c r="AA18" s="56" t="str">
        <f t="shared" si="22"/>
        <v>-</v>
      </c>
      <c r="AB18" t="str">
        <f>IF($N$21&gt;=65,IF($N$25&gt;20000000,IF($N$23&gt;=$N18,"✓","-"),"-"),"-")</f>
        <v>-</v>
      </c>
      <c r="AE18" s="15">
        <f>SUM(AE15:AE17)</f>
        <v>4360000</v>
      </c>
    </row>
    <row r="19" spans="1:33">
      <c r="G19" s="2" t="s">
        <v>95</v>
      </c>
      <c r="J19" s="14"/>
      <c r="K19" s="14" t="b">
        <f>G18=K18</f>
        <v>1</v>
      </c>
    </row>
    <row r="20" spans="1:33">
      <c r="G20" s="41" t="s">
        <v>94</v>
      </c>
      <c r="J20" s="14"/>
      <c r="K20" s="14"/>
      <c r="N20" s="47" t="s">
        <v>28</v>
      </c>
      <c r="O20" s="55"/>
      <c r="P20" s="59"/>
      <c r="Q20" s="59"/>
      <c r="R20" s="59"/>
      <c r="S20" s="59"/>
      <c r="T20" s="59"/>
    </row>
    <row r="21" spans="1:33">
      <c r="J21" s="14"/>
      <c r="K21" s="14"/>
      <c r="N21" s="60">
        <f>別紙2!I5</f>
        <v>49</v>
      </c>
      <c r="O21" s="55"/>
      <c r="P21" s="59"/>
      <c r="Q21" s="59"/>
      <c r="R21" s="59"/>
      <c r="S21" s="59"/>
      <c r="T21" s="59"/>
    </row>
    <row r="22" spans="1:33">
      <c r="F22" s="41" t="s">
        <v>99</v>
      </c>
      <c r="G22" s="15">
        <f>A18-G18</f>
        <v>1400000</v>
      </c>
      <c r="J22" s="14"/>
      <c r="K22" s="14"/>
      <c r="N22" s="47" t="s">
        <v>29</v>
      </c>
      <c r="O22" s="55"/>
      <c r="P22" s="59"/>
      <c r="Q22" s="47" t="s">
        <v>10</v>
      </c>
      <c r="R22" s="42" t="s">
        <v>104</v>
      </c>
      <c r="S22" s="42" t="s">
        <v>30</v>
      </c>
      <c r="T22" s="47" t="s">
        <v>31</v>
      </c>
      <c r="AC22" t="s">
        <v>122</v>
      </c>
      <c r="AE22" s="65"/>
    </row>
    <row r="23" spans="1:33">
      <c r="J23" s="14"/>
      <c r="K23" s="14"/>
      <c r="N23" s="61">
        <f>総表!D23</f>
        <v>1200000</v>
      </c>
      <c r="O23" s="55"/>
      <c r="P23" s="59"/>
      <c r="Q23" s="60">
        <f>VLOOKUP($N$23,IF($N$21&gt;=65,$N$6:$AA$10,$N$14:$AA$18),IF($N$25&lt;=10000000,4,IF($N$25&lt;=20000000,8,12)))</f>
        <v>1</v>
      </c>
      <c r="R23" s="61">
        <f>VLOOKUP($N$23,IF($N$21&gt;=65,$N$6:$AA$10,$N$14:$AA$18),IF($N$25&lt;=10000000,5,IF($N$25&lt;=20000000,9,13)))</f>
        <v>-600000</v>
      </c>
      <c r="S23" s="61">
        <f>ROUNDDOWN(IF($N$23*$Q$23+$R$23&gt;0,$N$23*$Q$23+$R$23,0),0)</f>
        <v>600000</v>
      </c>
      <c r="T23" s="61">
        <f>N23-S23</f>
        <v>600000</v>
      </c>
      <c r="AC23" t="s">
        <v>123</v>
      </c>
    </row>
    <row r="24" spans="1:33">
      <c r="M24" s="41"/>
      <c r="N24" s="47" t="s">
        <v>109</v>
      </c>
      <c r="O24" s="64" t="s">
        <v>117</v>
      </c>
      <c r="P24" s="59"/>
      <c r="Q24" s="55"/>
      <c r="R24" s="62"/>
      <c r="S24" s="62"/>
      <c r="T24" s="55"/>
      <c r="AC24" t="s">
        <v>124</v>
      </c>
    </row>
    <row r="25" spans="1:33">
      <c r="N25" s="61">
        <f>AE18</f>
        <v>4360000</v>
      </c>
      <c r="O25" s="55"/>
      <c r="P25" s="59"/>
      <c r="Q25" s="59"/>
      <c r="R25" s="63"/>
      <c r="S25" s="63"/>
      <c r="T25" s="63"/>
      <c r="AC25" t="s">
        <v>125</v>
      </c>
    </row>
    <row r="29" spans="1:33">
      <c r="A29" s="118">
        <v>44774</v>
      </c>
      <c r="R29" s="14"/>
      <c r="S29" s="14"/>
      <c r="T29" s="14"/>
    </row>
    <row r="30" spans="1:33">
      <c r="A30" s="118">
        <v>44805</v>
      </c>
    </row>
    <row r="31" spans="1:33">
      <c r="A31" s="118">
        <v>44835</v>
      </c>
    </row>
    <row r="32" spans="1:33">
      <c r="A32" s="118">
        <v>44866</v>
      </c>
    </row>
    <row r="33" spans="1:1">
      <c r="A33" s="118">
        <v>44896</v>
      </c>
    </row>
    <row r="34" spans="1:1">
      <c r="A34" s="118">
        <v>44927</v>
      </c>
    </row>
    <row r="35" spans="1:1">
      <c r="A35" s="118">
        <v>44958</v>
      </c>
    </row>
    <row r="36" spans="1:1">
      <c r="A36" s="118">
        <v>44986</v>
      </c>
    </row>
    <row r="37" spans="1:1">
      <c r="A37" s="118">
        <v>45017</v>
      </c>
    </row>
    <row r="38" spans="1:1">
      <c r="A38" s="118">
        <v>45047</v>
      </c>
    </row>
    <row r="39" spans="1:1">
      <c r="A39" s="118">
        <v>45078</v>
      </c>
    </row>
    <row r="40" spans="1:1">
      <c r="A40" s="118">
        <v>45108</v>
      </c>
    </row>
    <row r="41" spans="1:1">
      <c r="A41" s="118">
        <v>45139</v>
      </c>
    </row>
    <row r="42" spans="1:1">
      <c r="A42" s="118">
        <v>45170</v>
      </c>
    </row>
    <row r="43" spans="1:1">
      <c r="A43" s="118">
        <v>45200</v>
      </c>
    </row>
    <row r="44" spans="1:1">
      <c r="A44" s="118">
        <v>45231</v>
      </c>
    </row>
    <row r="45" spans="1:1">
      <c r="A45" s="118">
        <v>45261</v>
      </c>
    </row>
    <row r="46" spans="1:1">
      <c r="A46" s="118">
        <v>45292</v>
      </c>
    </row>
    <row r="47" spans="1:1">
      <c r="A47" s="118">
        <v>45323</v>
      </c>
    </row>
    <row r="48" spans="1:1">
      <c r="A48" s="118">
        <v>45352</v>
      </c>
    </row>
    <row r="49" spans="1:1">
      <c r="A49" s="118">
        <v>45383</v>
      </c>
    </row>
    <row r="50" spans="1:1">
      <c r="A50" s="118">
        <v>45413</v>
      </c>
    </row>
    <row r="51" spans="1:1">
      <c r="A51" s="118">
        <v>45444</v>
      </c>
    </row>
    <row r="52" spans="1:1">
      <c r="A52" s="118">
        <v>45474</v>
      </c>
    </row>
    <row r="53" spans="1:1">
      <c r="A53" s="118">
        <v>45505</v>
      </c>
    </row>
    <row r="54" spans="1:1">
      <c r="A54" s="118">
        <v>45536</v>
      </c>
    </row>
    <row r="55" spans="1:1">
      <c r="A55" s="118">
        <v>45566</v>
      </c>
    </row>
    <row r="56" spans="1:1">
      <c r="A56" s="118">
        <v>45597</v>
      </c>
    </row>
    <row r="57" spans="1:1">
      <c r="A57" s="118">
        <v>45627</v>
      </c>
    </row>
    <row r="58" spans="1:1">
      <c r="A58" s="118">
        <v>45658</v>
      </c>
    </row>
    <row r="59" spans="1:1">
      <c r="A59" s="118">
        <v>45689</v>
      </c>
    </row>
    <row r="60" spans="1:1">
      <c r="A60" s="118">
        <v>45717</v>
      </c>
    </row>
    <row r="61" spans="1:1">
      <c r="A61" s="118">
        <v>45748</v>
      </c>
    </row>
    <row r="62" spans="1:1">
      <c r="A62" s="118">
        <v>45778</v>
      </c>
    </row>
    <row r="63" spans="1:1">
      <c r="A63" s="118">
        <v>45809</v>
      </c>
    </row>
    <row r="64" spans="1:1">
      <c r="A64" s="118">
        <v>45839</v>
      </c>
    </row>
    <row r="65" spans="1:1">
      <c r="A65" s="118">
        <v>45870</v>
      </c>
    </row>
    <row r="66" spans="1:1">
      <c r="A66" s="118">
        <v>45901</v>
      </c>
    </row>
    <row r="67" spans="1:1">
      <c r="A67" s="118">
        <v>45931</v>
      </c>
    </row>
    <row r="68" spans="1:1">
      <c r="A68" s="118">
        <v>45962</v>
      </c>
    </row>
    <row r="69" spans="1:1">
      <c r="A69" s="118">
        <v>45992</v>
      </c>
    </row>
    <row r="70" spans="1:1">
      <c r="A70" s="118">
        <v>46023</v>
      </c>
    </row>
    <row r="71" spans="1:1">
      <c r="A71" s="118">
        <v>46054</v>
      </c>
    </row>
    <row r="72" spans="1:1">
      <c r="A72" s="118">
        <v>46082</v>
      </c>
    </row>
    <row r="73" spans="1:1">
      <c r="A73" s="118">
        <v>46113</v>
      </c>
    </row>
    <row r="74" spans="1:1">
      <c r="A74" s="118">
        <v>46143</v>
      </c>
    </row>
    <row r="75" spans="1:1">
      <c r="A75" s="118">
        <v>46174</v>
      </c>
    </row>
    <row r="76" spans="1:1">
      <c r="A76" s="118">
        <v>46204</v>
      </c>
    </row>
    <row r="77" spans="1:1">
      <c r="A77" s="118">
        <v>46235</v>
      </c>
    </row>
    <row r="78" spans="1:1">
      <c r="A78" s="118">
        <v>46266</v>
      </c>
    </row>
    <row r="79" spans="1:1">
      <c r="A79" s="118">
        <v>46296</v>
      </c>
    </row>
    <row r="80" spans="1:1">
      <c r="A80" s="118">
        <v>46327</v>
      </c>
    </row>
    <row r="81" spans="1:1">
      <c r="A81" s="118">
        <v>46357</v>
      </c>
    </row>
    <row r="82" spans="1:1">
      <c r="A82" s="118">
        <v>46388</v>
      </c>
    </row>
    <row r="83" spans="1:1">
      <c r="A83" s="118">
        <v>46419</v>
      </c>
    </row>
    <row r="84" spans="1:1">
      <c r="A84" s="118">
        <v>46447</v>
      </c>
    </row>
    <row r="85" spans="1:1">
      <c r="A85" s="118">
        <v>46478</v>
      </c>
    </row>
    <row r="86" spans="1:1">
      <c r="A86" s="118">
        <v>46508</v>
      </c>
    </row>
    <row r="87" spans="1:1">
      <c r="A87" s="118">
        <v>46539</v>
      </c>
    </row>
    <row r="88" spans="1:1">
      <c r="A88" s="118">
        <v>46569</v>
      </c>
    </row>
    <row r="89" spans="1:1">
      <c r="A89" s="118">
        <v>46600</v>
      </c>
    </row>
    <row r="90" spans="1:1">
      <c r="A90" s="118">
        <v>46631</v>
      </c>
    </row>
    <row r="91" spans="1:1">
      <c r="A91" s="118">
        <v>46661</v>
      </c>
    </row>
    <row r="92" spans="1:1">
      <c r="A92" s="118">
        <v>46692</v>
      </c>
    </row>
    <row r="93" spans="1:1">
      <c r="A93" s="118">
        <v>46722</v>
      </c>
    </row>
    <row r="94" spans="1:1">
      <c r="A94" s="118">
        <v>46753</v>
      </c>
    </row>
    <row r="95" spans="1:1">
      <c r="A95" s="118">
        <v>46784</v>
      </c>
    </row>
    <row r="96" spans="1:1">
      <c r="A96" s="118">
        <v>46813</v>
      </c>
    </row>
    <row r="97" spans="1:1">
      <c r="A97" s="118">
        <v>46844</v>
      </c>
    </row>
    <row r="98" spans="1:1">
      <c r="A98" s="118">
        <v>46874</v>
      </c>
    </row>
    <row r="99" spans="1:1">
      <c r="A99" s="118">
        <v>46905</v>
      </c>
    </row>
    <row r="100" spans="1:1">
      <c r="A100" s="118">
        <v>46935</v>
      </c>
    </row>
    <row r="101" spans="1:1">
      <c r="A101" s="118">
        <v>46966</v>
      </c>
    </row>
    <row r="102" spans="1:1">
      <c r="A102" s="118">
        <v>46997</v>
      </c>
    </row>
    <row r="103" spans="1:1">
      <c r="A103" s="118">
        <v>47027</v>
      </c>
    </row>
    <row r="104" spans="1:1">
      <c r="A104" s="118">
        <v>47058</v>
      </c>
    </row>
    <row r="105" spans="1:1">
      <c r="A105" s="118">
        <v>47088</v>
      </c>
    </row>
    <row r="106" spans="1:1">
      <c r="A106" s="118">
        <v>47119</v>
      </c>
    </row>
    <row r="107" spans="1:1">
      <c r="A107" s="118">
        <v>47150</v>
      </c>
    </row>
    <row r="108" spans="1:1">
      <c r="A108" s="118">
        <v>47178</v>
      </c>
    </row>
    <row r="109" spans="1:1">
      <c r="A109" s="118">
        <v>47209</v>
      </c>
    </row>
    <row r="110" spans="1:1">
      <c r="A110" s="118">
        <v>47239</v>
      </c>
    </row>
    <row r="111" spans="1:1">
      <c r="A111" s="118">
        <v>47270</v>
      </c>
    </row>
    <row r="112" spans="1:1">
      <c r="A112" s="118">
        <v>47300</v>
      </c>
    </row>
    <row r="113" spans="1:1">
      <c r="A113" s="118">
        <v>47331</v>
      </c>
    </row>
    <row r="114" spans="1:1">
      <c r="A114" s="118">
        <v>47362</v>
      </c>
    </row>
    <row r="115" spans="1:1">
      <c r="A115" s="118">
        <v>47392</v>
      </c>
    </row>
    <row r="116" spans="1:1">
      <c r="A116" s="118">
        <v>47423</v>
      </c>
    </row>
    <row r="117" spans="1:1">
      <c r="A117" s="118">
        <v>47453</v>
      </c>
    </row>
    <row r="118" spans="1:1">
      <c r="A118" s="118">
        <v>47484</v>
      </c>
    </row>
    <row r="119" spans="1:1">
      <c r="A119" s="118">
        <v>47515</v>
      </c>
    </row>
    <row r="120" spans="1:1">
      <c r="A120" s="118">
        <v>47543</v>
      </c>
    </row>
  </sheetData>
  <sheetProtection algorithmName="SHA-512" hashValue="L14TB8KWNYk/tUgNcnDHqMNklysZrJ+coBmmrTovLJLk+YSKX3Y7d11gB3jgfZML05CBODSuDoGQeXgpendyNQ==" saltValue="ePgKQ2WMHKs3150MZIr38Q==" spinCount="100000" sheet="1" objects="1" scenarios="1"/>
  <mergeCells count="3">
    <mergeCell ref="A4:C4"/>
    <mergeCell ref="N5:P5"/>
    <mergeCell ref="N13:P13"/>
  </mergeCells>
  <phoneticPr fontId="1"/>
  <pageMargins left="0.7" right="0.7" top="0.75" bottom="0.75" header="0.3" footer="0.3"/>
  <pageSetup paperSize="9" scale="77" orientation="landscape" r:id="rId1"/>
  <headerFooter>
    <oddHeader>&amp;L【機密性○（取扱制限）】</oddHeader>
  </headerFooter>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総表</vt:lpstr>
      <vt:lpstr>別紙1</vt:lpstr>
      <vt:lpstr>別紙2</vt:lpstr>
      <vt:lpstr>別紙3</vt:lpstr>
      <vt:lpstr>別紙3-1</vt:lpstr>
      <vt:lpstr>別紙3-2</vt:lpstr>
      <vt:lpstr>（削除不可）給与・年金所得計算</vt:lpstr>
      <vt:lpstr>'（削除不可）給与・年金所得計算'!Print_Area</vt:lpstr>
      <vt:lpstr>総表!Print_Area</vt:lpstr>
      <vt:lpstr>別紙1!Print_Area</vt:lpstr>
      <vt:lpstr>別紙2!Print_Area</vt:lpstr>
      <vt:lpstr>別紙3!Print_Area</vt:lpstr>
      <vt:lpstr>'別紙3-1'!Print_Area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2023-03-30T04:25:24Z</cp:lastPrinted>
  <dcterms:created xsi:type="dcterms:W3CDTF">2022-09-14T02:00:15Z</dcterms:created>
  <dcterms:modified xsi:type="dcterms:W3CDTF">2024-12-24T00:44:55Z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2022-09-14T02:00:30Z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7ef594b0-3243-4f57-bf4a-20f39a76f450</vt:lpwstr>
  </property>
  <property fmtid="{D5CDD505-2E9C-101B-9397-08002B2CF9AE}" pid="8" name="MSIP_Label_d899a617-f30e-4fb8-b81c-fb6d0b94ac5b_ContentBits">
    <vt:lpwstr>0</vt:lpwstr>
  </property>
</Properties>
</file>